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ams\Desktop\"/>
    </mc:Choice>
  </mc:AlternateContent>
  <bookViews>
    <workbookView xWindow="0" yWindow="0" windowWidth="24000" windowHeight="9735"/>
  </bookViews>
  <sheets>
    <sheet name="INEMAD_bioplinski kalkulator" sheetId="2" r:id="rId1"/>
    <sheet name="I Z B O R N I K" sheetId="14" r:id="rId2"/>
    <sheet name="Analiza polj. gospodarstva" sheetId="1" r:id="rId3"/>
    <sheet name="AD analiza" sheetId="11" r:id="rId4"/>
    <sheet name="Financijski kalkulator" sheetId="12" r:id="rId5"/>
    <sheet name="Sažetak projekta" sheetId="13" r:id="rId6"/>
    <sheet name="Data validation_CHP engines" sheetId="6" r:id="rId7"/>
    <sheet name="Data validation" sheetId="3" state="hidden" r:id="rId8"/>
  </sheets>
  <externalReferences>
    <externalReference r:id="rId9"/>
    <externalReference r:id="rId10"/>
  </externalReferences>
  <definedNames>
    <definedName name="CHP_brand">'Data validation_CHP engines'!$B$6:$C$40</definedName>
    <definedName name="CHP_engine_data">'Data validation_CHP engines'!$C$6:$M$40</definedName>
    <definedName name="CHP_kW">'Data validation_CHP engines'!$B$6:$B$40</definedName>
    <definedName name="company_name">'Data validation'!$B$3:$B$5</definedName>
    <definedName name="county">'Data validation'!$I$3:$I$23</definedName>
    <definedName name="creadit_line">'Data validation'!$D$28:$D$30</definedName>
    <definedName name="crop_type">'Data validation'!$M$3:$M$4</definedName>
    <definedName name="digester_no">'Data validation'!$Z$3:$Z$7</definedName>
    <definedName name="grants">'Data validation'!$B$28:$B$31</definedName>
    <definedName name="gsm">'Data validation'!$F$3:$F$6</definedName>
    <definedName name="HRT">'Data validation'!$X$3:$X$44</definedName>
    <definedName name="livestock_type">'Data validation'!$K$3:$K$9</definedName>
    <definedName name="manure_disposal">'Data validation'!$O$3:$O$4</definedName>
    <definedName name="manure_fraction">'Data validation'!$U$2:$U$4</definedName>
    <definedName name="manure_guidelines">'Data validation'!$Q$3:$R$9</definedName>
    <definedName name="_xlnm.Print_Area" localSheetId="3">'AD analiza'!$A$4:$AO$84</definedName>
    <definedName name="_xlnm.Print_Area" localSheetId="2">'Analiza polj. gospodarstva'!$A$2:$X$94</definedName>
    <definedName name="_xlnm.Print_Area" localSheetId="4">'Financijski kalkulator'!$A$1:$O$105</definedName>
    <definedName name="_xlnm.Print_Area" localSheetId="0">'INEMAD_bioplinski kalkulator'!$A$1:$V$30</definedName>
    <definedName name="_xlnm.Print_Area" localSheetId="5">'Sažetak projekta'!$A$1:$AB$39</definedName>
    <definedName name="RH">'Data validation'!$H$3:$I$23</definedName>
    <definedName name="tariff_EUR">'Data validation'!$H$28:$I$37,'Data validation'!$L$28:$L$37</definedName>
    <definedName name="tariff_HRK">'Data validation'!$H$28:$J$37</definedName>
    <definedName name="tarrif_system">'Data validation'!$H$28:$I$37</definedName>
    <definedName name="thick_fraction">'Data validation'!$V$2:$V$4</definedName>
    <definedName name="thin_fraction" localSheetId="1">'Data validation'!#REF!</definedName>
    <definedName name="thin_fraction">'Data validation'!#REF!</definedName>
    <definedName name="title">'Data validation'!$D$3:$D$4</definedName>
    <definedName name="xycy">'[1]Data validation'!$X$3:$X$44</definedName>
    <definedName name="yx" localSheetId="1">#REF!</definedName>
    <definedName name="yx">#REF!</definedName>
    <definedName name="zip">'Data validation'!$H$3:$H$23</definedName>
    <definedName name="ZIP_code">'Data validation'!$H$3:$I$23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1" l="1"/>
  <c r="D70" i="1"/>
  <c r="F21" i="12" l="1"/>
  <c r="D61" i="1" l="1"/>
  <c r="D23" i="13"/>
  <c r="D22" i="13"/>
  <c r="D21" i="13"/>
  <c r="D76" i="1"/>
  <c r="F24" i="12"/>
  <c r="F23" i="12"/>
  <c r="F22" i="12"/>
  <c r="E45" i="11"/>
  <c r="D24" i="13" l="1"/>
  <c r="D25" i="13" s="1"/>
  <c r="E14" i="11"/>
  <c r="G37" i="12"/>
  <c r="F20" i="12"/>
  <c r="G66" i="11"/>
  <c r="L54" i="1" l="1"/>
  <c r="N54" i="1" s="1"/>
  <c r="J54" i="1"/>
  <c r="P54" i="1"/>
  <c r="E29" i="12" l="1"/>
  <c r="E48" i="12" s="1"/>
  <c r="E75" i="12" l="1"/>
  <c r="E76" i="12" s="1"/>
  <c r="F70" i="12"/>
  <c r="E56" i="12"/>
  <c r="E101" i="12"/>
  <c r="E102" i="12" s="1"/>
  <c r="E46" i="11"/>
  <c r="E35" i="12"/>
  <c r="E37" i="12" l="1"/>
  <c r="E34" i="12"/>
  <c r="E16" i="12"/>
  <c r="E40" i="11"/>
  <c r="E42" i="11" s="1"/>
  <c r="J16" i="13" l="1"/>
  <c r="K23" i="13" l="1"/>
  <c r="K21" i="13"/>
  <c r="M32" i="1" l="1"/>
  <c r="H30" i="1"/>
  <c r="H31" i="1"/>
  <c r="M31" i="1" s="1"/>
  <c r="H29" i="1" l="1"/>
  <c r="M30" i="1"/>
  <c r="M28" i="1" s="1"/>
  <c r="M29" i="1" s="1"/>
  <c r="F73" i="12" s="1"/>
  <c r="E7" i="12"/>
  <c r="F99" i="12" l="1"/>
  <c r="F86" i="12"/>
  <c r="G73" i="12"/>
  <c r="E12" i="11"/>
  <c r="F76" i="11"/>
  <c r="F78" i="11" s="1"/>
  <c r="E7" i="11"/>
  <c r="G86" i="12" l="1"/>
  <c r="Y21" i="13"/>
  <c r="F79" i="11"/>
  <c r="F12" i="1"/>
  <c r="H86" i="12" l="1"/>
  <c r="F80" i="11"/>
  <c r="Y23" i="13" s="1"/>
  <c r="Y22" i="13"/>
  <c r="E36" i="1"/>
  <c r="G36" i="1" s="1"/>
  <c r="F25" i="1"/>
  <c r="I86" i="12" l="1"/>
  <c r="J86" i="12" l="1"/>
  <c r="G68" i="11"/>
  <c r="G67" i="11"/>
  <c r="G65" i="11" s="1"/>
  <c r="G46" i="11"/>
  <c r="G45" i="11"/>
  <c r="P30" i="11"/>
  <c r="N15" i="11"/>
  <c r="K86" i="12" l="1"/>
  <c r="E49" i="11"/>
  <c r="E50" i="11" s="1"/>
  <c r="R21" i="13"/>
  <c r="E51" i="11"/>
  <c r="E52" i="11" s="1"/>
  <c r="E47" i="11"/>
  <c r="E48" i="11" s="1"/>
  <c r="H12" i="11"/>
  <c r="L86" i="12" l="1"/>
  <c r="E12" i="12"/>
  <c r="J17" i="13"/>
  <c r="G51" i="11"/>
  <c r="G52" i="11" s="1"/>
  <c r="G71" i="11" s="1"/>
  <c r="E21" i="11"/>
  <c r="N13" i="11" s="1"/>
  <c r="G49" i="11"/>
  <c r="F59" i="11" s="1"/>
  <c r="F60" i="11" s="1"/>
  <c r="F61" i="11" s="1"/>
  <c r="G47" i="11"/>
  <c r="G48" i="11" s="1"/>
  <c r="M86" i="12" l="1"/>
  <c r="F65" i="11"/>
  <c r="E13" i="12"/>
  <c r="R23" i="13"/>
  <c r="N24" i="11"/>
  <c r="G50" i="11"/>
  <c r="G59" i="11"/>
  <c r="N86" i="12" l="1"/>
  <c r="N17" i="11"/>
  <c r="K25" i="13" s="1"/>
  <c r="K24" i="13"/>
  <c r="G60" i="11"/>
  <c r="H59" i="11"/>
  <c r="F62" i="11"/>
  <c r="R24" i="13" s="1"/>
  <c r="O86" i="12" l="1"/>
  <c r="G61" i="11"/>
  <c r="G62" i="11" s="1"/>
  <c r="I59" i="11"/>
  <c r="H60" i="11"/>
  <c r="H61" i="11" s="1"/>
  <c r="H62" i="11" s="1"/>
  <c r="I60" i="11" l="1"/>
  <c r="I61" i="11" s="1"/>
  <c r="I62" i="11" s="1"/>
  <c r="J59" i="11"/>
  <c r="J60" i="11" l="1"/>
  <c r="J61" i="11" s="1"/>
  <c r="J62" i="11" s="1"/>
  <c r="K59" i="11"/>
  <c r="K60" i="11" l="1"/>
  <c r="K61" i="11" s="1"/>
  <c r="K62" i="11" s="1"/>
  <c r="L59" i="11"/>
  <c r="M59" i="11" l="1"/>
  <c r="L60" i="11"/>
  <c r="L61" i="11" s="1"/>
  <c r="L62" i="11" s="1"/>
  <c r="M60" i="11" l="1"/>
  <c r="M61" i="11" s="1"/>
  <c r="M62" i="11" s="1"/>
  <c r="N59" i="11"/>
  <c r="N60" i="11" l="1"/>
  <c r="N61" i="11" s="1"/>
  <c r="O59" i="11"/>
  <c r="O60" i="11" s="1"/>
  <c r="O61" i="11" s="1"/>
  <c r="G99" i="12" l="1"/>
  <c r="E18" i="12"/>
  <c r="E17" i="12"/>
  <c r="H99" i="12" l="1"/>
  <c r="E39" i="12"/>
  <c r="G48" i="12"/>
  <c r="H73" i="12"/>
  <c r="I73" i="12" s="1"/>
  <c r="I99" i="12" l="1"/>
  <c r="E45" i="12"/>
  <c r="E49" i="12" s="1"/>
  <c r="G70" i="12"/>
  <c r="H70" i="12" s="1"/>
  <c r="I70" i="12" s="1"/>
  <c r="J70" i="12" s="1"/>
  <c r="K70" i="12" s="1"/>
  <c r="L70" i="12" s="1"/>
  <c r="M70" i="12" s="1"/>
  <c r="N70" i="12" s="1"/>
  <c r="O70" i="12" s="1"/>
  <c r="E33" i="12"/>
  <c r="E50" i="12" s="1"/>
  <c r="F71" i="12" s="1"/>
  <c r="F75" i="12" s="1"/>
  <c r="F96" i="12"/>
  <c r="G96" i="12" s="1"/>
  <c r="H96" i="12" s="1"/>
  <c r="I96" i="12" s="1"/>
  <c r="J96" i="12" s="1"/>
  <c r="K96" i="12" s="1"/>
  <c r="L96" i="12" s="1"/>
  <c r="M96" i="12" s="1"/>
  <c r="N96" i="12" s="1"/>
  <c r="O96" i="12" s="1"/>
  <c r="F83" i="12"/>
  <c r="G83" i="12" s="1"/>
  <c r="H83" i="12" s="1"/>
  <c r="I83" i="12" s="1"/>
  <c r="J83" i="12" s="1"/>
  <c r="K83" i="12" s="1"/>
  <c r="L83" i="12" s="1"/>
  <c r="M83" i="12" s="1"/>
  <c r="N83" i="12" s="1"/>
  <c r="O83" i="12" s="1"/>
  <c r="G45" i="12"/>
  <c r="G49" i="12" s="1"/>
  <c r="G51" i="12" s="1"/>
  <c r="E58" i="12" s="1"/>
  <c r="F76" i="12" l="1"/>
  <c r="J99" i="12"/>
  <c r="E51" i="12"/>
  <c r="G50" i="12"/>
  <c r="J73" i="12"/>
  <c r="K99" i="12" l="1"/>
  <c r="E57" i="12"/>
  <c r="E88" i="12"/>
  <c r="F84" i="12"/>
  <c r="F88" i="12" s="1"/>
  <c r="F97" i="12"/>
  <c r="F101" i="12" s="1"/>
  <c r="F102" i="12" s="1"/>
  <c r="K73" i="12"/>
  <c r="F89" i="12" l="1"/>
  <c r="L99" i="12"/>
  <c r="E89" i="12"/>
  <c r="G97" i="12"/>
  <c r="G101" i="12" s="1"/>
  <c r="G102" i="12" s="1"/>
  <c r="G71" i="12"/>
  <c r="G75" i="12" s="1"/>
  <c r="G84" i="12"/>
  <c r="G88" i="12" s="1"/>
  <c r="L73" i="12"/>
  <c r="G76" i="12" l="1"/>
  <c r="G89" i="12"/>
  <c r="M99" i="12"/>
  <c r="H71" i="12"/>
  <c r="H84" i="12"/>
  <c r="H88" i="12" s="1"/>
  <c r="H97" i="12"/>
  <c r="H101" i="12" s="1"/>
  <c r="N99" i="12"/>
  <c r="M73" i="12"/>
  <c r="H89" i="12" l="1"/>
  <c r="H102" i="12"/>
  <c r="I84" i="12"/>
  <c r="I88" i="12" s="1"/>
  <c r="I97" i="12"/>
  <c r="I101" i="12" s="1"/>
  <c r="I71" i="12"/>
  <c r="H75" i="12"/>
  <c r="N73" i="12"/>
  <c r="O99" i="12"/>
  <c r="H76" i="12" l="1"/>
  <c r="I102" i="12"/>
  <c r="I89" i="12"/>
  <c r="J97" i="12"/>
  <c r="J101" i="12" s="1"/>
  <c r="J84" i="12"/>
  <c r="J88" i="12" s="1"/>
  <c r="J71" i="12"/>
  <c r="I75" i="12"/>
  <c r="O73" i="12"/>
  <c r="I76" i="12" l="1"/>
  <c r="J102" i="12"/>
  <c r="K102" i="12" s="1"/>
  <c r="J89" i="12"/>
  <c r="K84" i="12"/>
  <c r="K88" i="12" s="1"/>
  <c r="K71" i="12"/>
  <c r="J75" i="12"/>
  <c r="K97" i="12"/>
  <c r="K101" i="12" s="1"/>
  <c r="J76" i="12" l="1"/>
  <c r="K89" i="12"/>
  <c r="L71" i="12"/>
  <c r="K75" i="12"/>
  <c r="L97" i="12"/>
  <c r="L101" i="12" s="1"/>
  <c r="L84" i="12"/>
  <c r="L88" i="12" s="1"/>
  <c r="K76" i="12" l="1"/>
  <c r="L89" i="12"/>
  <c r="L102" i="12"/>
  <c r="M97" i="12"/>
  <c r="M101" i="12" s="1"/>
  <c r="M84" i="12"/>
  <c r="M88" i="12" s="1"/>
  <c r="L75" i="12"/>
  <c r="M71" i="12"/>
  <c r="L76" i="12" l="1"/>
  <c r="M89" i="12"/>
  <c r="M102" i="12"/>
  <c r="N84" i="12"/>
  <c r="N88" i="12" s="1"/>
  <c r="N71" i="12"/>
  <c r="M75" i="12"/>
  <c r="N97" i="12"/>
  <c r="L31" i="3"/>
  <c r="L32" i="3"/>
  <c r="L35" i="3"/>
  <c r="L36" i="3"/>
  <c r="L37" i="3"/>
  <c r="L30" i="3"/>
  <c r="N101" i="12" l="1"/>
  <c r="N102" i="12" s="1"/>
  <c r="M76" i="12"/>
  <c r="N89" i="12"/>
  <c r="O97" i="12"/>
  <c r="O84" i="12"/>
  <c r="O71" i="12"/>
  <c r="N75" i="12"/>
  <c r="D75" i="1"/>
  <c r="X63" i="1"/>
  <c r="X62" i="1"/>
  <c r="V63" i="1"/>
  <c r="V62" i="1"/>
  <c r="T63" i="1"/>
  <c r="T62" i="1"/>
  <c r="R63" i="1"/>
  <c r="R62" i="1"/>
  <c r="P63" i="1"/>
  <c r="P62" i="1"/>
  <c r="N63" i="1"/>
  <c r="L63" i="1"/>
  <c r="L62" i="1"/>
  <c r="N62" i="1" s="1"/>
  <c r="J63" i="1"/>
  <c r="J62" i="1"/>
  <c r="H63" i="1"/>
  <c r="H62" i="1"/>
  <c r="F63" i="1"/>
  <c r="F62" i="1"/>
  <c r="X59" i="1"/>
  <c r="X58" i="1"/>
  <c r="X57" i="1"/>
  <c r="X54" i="1"/>
  <c r="X53" i="1"/>
  <c r="V59" i="1"/>
  <c r="V58" i="1"/>
  <c r="V57" i="1"/>
  <c r="V54" i="1"/>
  <c r="V53" i="1"/>
  <c r="T59" i="1"/>
  <c r="T58" i="1"/>
  <c r="T57" i="1"/>
  <c r="T54" i="1"/>
  <c r="T53" i="1"/>
  <c r="R59" i="1"/>
  <c r="R58" i="1"/>
  <c r="R57" i="1"/>
  <c r="R54" i="1"/>
  <c r="R53" i="1"/>
  <c r="P59" i="1"/>
  <c r="P58" i="1"/>
  <c r="P57" i="1"/>
  <c r="P53" i="1"/>
  <c r="L53" i="1"/>
  <c r="N53" i="1" s="1"/>
  <c r="L59" i="1"/>
  <c r="N59" i="1" s="1"/>
  <c r="L58" i="1"/>
  <c r="N58" i="1" s="1"/>
  <c r="L57" i="1"/>
  <c r="N57" i="1" s="1"/>
  <c r="J59" i="1"/>
  <c r="J58" i="1"/>
  <c r="J57" i="1"/>
  <c r="J53" i="1"/>
  <c r="H59" i="1"/>
  <c r="H58" i="1"/>
  <c r="H57" i="1"/>
  <c r="H54" i="1"/>
  <c r="H53" i="1"/>
  <c r="F59" i="1"/>
  <c r="F58" i="1"/>
  <c r="F57" i="1"/>
  <c r="F54" i="1"/>
  <c r="F53" i="1"/>
  <c r="O88" i="12" l="1"/>
  <c r="J90" i="12" s="1"/>
  <c r="O101" i="12"/>
  <c r="J104" i="12" s="1"/>
  <c r="N76" i="12"/>
  <c r="O75" i="12"/>
  <c r="J77" i="12" s="1"/>
  <c r="N70" i="1"/>
  <c r="E75" i="1"/>
  <c r="D77" i="1"/>
  <c r="E76" i="1"/>
  <c r="H70" i="1"/>
  <c r="G70" i="1" s="1"/>
  <c r="L70" i="1"/>
  <c r="P70" i="1"/>
  <c r="O70" i="1" s="1"/>
  <c r="T70" i="1"/>
  <c r="S70" i="1" s="1"/>
  <c r="X70" i="1"/>
  <c r="W70" i="1" s="1"/>
  <c r="F70" i="1"/>
  <c r="J70" i="1"/>
  <c r="E15" i="11" s="1"/>
  <c r="R70" i="1"/>
  <c r="Q70" i="1" s="1"/>
  <c r="V70" i="1"/>
  <c r="U70" i="1" s="1"/>
  <c r="E70" i="1"/>
  <c r="O89" i="12" l="1"/>
  <c r="J105" i="12"/>
  <c r="O102" i="12"/>
  <c r="J91" i="12"/>
  <c r="O76" i="12"/>
  <c r="J78" i="12" s="1"/>
  <c r="K30" i="13"/>
  <c r="Q37" i="13" s="1"/>
  <c r="M72" i="1"/>
  <c r="E29" i="11"/>
  <c r="E32" i="11" s="1"/>
  <c r="E28" i="11"/>
  <c r="K29" i="13"/>
  <c r="Q36" i="13" s="1"/>
  <c r="I70" i="1"/>
  <c r="N25" i="11" s="1"/>
  <c r="E24" i="11"/>
  <c r="K22" i="13" s="1"/>
  <c r="K70" i="1"/>
  <c r="M70" i="1"/>
  <c r="E34" i="11" l="1"/>
  <c r="E35" i="11" s="1"/>
  <c r="E33" i="11"/>
  <c r="K32" i="13"/>
  <c r="G45" i="1"/>
  <c r="V4" i="3"/>
  <c r="V3" i="3"/>
  <c r="E37" i="1" s="1"/>
  <c r="E38" i="1" s="1"/>
  <c r="E46" i="1"/>
  <c r="G46" i="1" s="1"/>
  <c r="E43" i="1"/>
</calcChain>
</file>

<file path=xl/sharedStrings.xml><?xml version="1.0" encoding="utf-8"?>
<sst xmlns="http://schemas.openxmlformats.org/spreadsheetml/2006/main" count="597" uniqueCount="416">
  <si>
    <t>OIB</t>
  </si>
  <si>
    <t>GSM</t>
  </si>
  <si>
    <t>ha</t>
  </si>
  <si>
    <t>Company type</t>
  </si>
  <si>
    <t>d.o.o.</t>
  </si>
  <si>
    <t>OPG</t>
  </si>
  <si>
    <t>d.d.</t>
  </si>
  <si>
    <t>Title</t>
  </si>
  <si>
    <t>0 98</t>
  </si>
  <si>
    <t>0 99</t>
  </si>
  <si>
    <t>0 91</t>
  </si>
  <si>
    <t>0 95</t>
  </si>
  <si>
    <t>county</t>
  </si>
  <si>
    <t>ZIP code</t>
  </si>
  <si>
    <t>Livestock type</t>
  </si>
  <si>
    <t>Crop type</t>
  </si>
  <si>
    <t>ccm</t>
  </si>
  <si>
    <t>km</t>
  </si>
  <si>
    <r>
      <t>m</t>
    </r>
    <r>
      <rPr>
        <sz val="11"/>
        <rFont val="Calibri"/>
        <family val="2"/>
      </rPr>
      <t>³</t>
    </r>
  </si>
  <si>
    <t>Manure disposal</t>
  </si>
  <si>
    <t>logo</t>
  </si>
  <si>
    <t>%</t>
  </si>
  <si>
    <r>
      <rPr>
        <sz val="11"/>
        <rFont val="Calibri"/>
        <family val="2"/>
      </rPr>
      <t>€</t>
    </r>
    <r>
      <rPr>
        <sz val="11"/>
        <rFont val="Calibri"/>
        <family val="2"/>
        <charset val="238"/>
      </rPr>
      <t>/ton</t>
    </r>
  </si>
  <si>
    <t>HRK/ton</t>
  </si>
  <si>
    <t>Manure guidelines</t>
  </si>
  <si>
    <t>Manure_fraction</t>
  </si>
  <si>
    <t>ZAGREBAČKA</t>
  </si>
  <si>
    <t>KARLOVAČKA</t>
  </si>
  <si>
    <t>VARAŽDINSKA</t>
  </si>
  <si>
    <t>ZADARSKA</t>
  </si>
  <si>
    <t>ISTARSKA</t>
  </si>
  <si>
    <t>MEĐIMURSKA</t>
  </si>
  <si>
    <t>GRAD ZAGREB</t>
  </si>
  <si>
    <t>C/N</t>
  </si>
  <si>
    <t>OS</t>
  </si>
  <si>
    <r>
      <t>CH</t>
    </r>
    <r>
      <rPr>
        <sz val="8"/>
        <rFont val="Calibri"/>
        <family val="2"/>
        <scheme val="minor"/>
      </rPr>
      <t>4</t>
    </r>
  </si>
  <si>
    <t>N</t>
  </si>
  <si>
    <r>
      <t>P</t>
    </r>
    <r>
      <rPr>
        <sz val="8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</t>
    </r>
    <r>
      <rPr>
        <sz val="8"/>
        <rFont val="Calibri"/>
        <family val="2"/>
        <scheme val="minor"/>
      </rPr>
      <t>5</t>
    </r>
  </si>
  <si>
    <t>AD FACTSHEET</t>
  </si>
  <si>
    <r>
      <t>CH</t>
    </r>
    <r>
      <rPr>
        <b/>
        <sz val="8"/>
        <rFont val="Calibri"/>
        <family val="2"/>
        <scheme val="minor"/>
      </rPr>
      <t>4</t>
    </r>
  </si>
  <si>
    <r>
      <t>P</t>
    </r>
    <r>
      <rPr>
        <b/>
        <sz val="8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sz val="8"/>
        <rFont val="Calibri"/>
        <family val="2"/>
        <scheme val="minor"/>
      </rPr>
      <t>5</t>
    </r>
  </si>
  <si>
    <t>HRT</t>
  </si>
  <si>
    <t>digester_no</t>
  </si>
  <si>
    <t>20 -</t>
  </si>
  <si>
    <t>KRAPINSKO-ZAGORSKA</t>
  </si>
  <si>
    <t>SISAČKO-MOSLAVAČKA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</si>
  <si>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</si>
  <si>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</si>
  <si>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</si>
  <si>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</si>
  <si>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</si>
  <si>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</si>
  <si>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</si>
  <si>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OSJEČKO-BARANJSKA</t>
  </si>
  <si>
    <t>ŠIBENSKO-KNINSKA</t>
  </si>
  <si>
    <t>VUKOVARSKO-SRIJEMSKA</t>
  </si>
  <si>
    <t>SPLITSKO-DALMATINSKA</t>
  </si>
  <si>
    <t>DUBROVAČKO-NERETVANSKA</t>
  </si>
  <si>
    <t>hours/year</t>
  </si>
  <si>
    <t>kWh</t>
  </si>
  <si>
    <t>CHP_kW</t>
  </si>
  <si>
    <t>CHP_brand</t>
  </si>
  <si>
    <t>MAN 190</t>
  </si>
  <si>
    <t>MAN 345</t>
  </si>
  <si>
    <t>MAN 360</t>
  </si>
  <si>
    <t>MAN 120</t>
  </si>
  <si>
    <t>MAN 100</t>
  </si>
  <si>
    <t>VALMET 80</t>
  </si>
  <si>
    <t>VALMET 60</t>
  </si>
  <si>
    <t>VALMET 30</t>
  </si>
  <si>
    <t>MAN 34</t>
  </si>
  <si>
    <t>MAN 50</t>
  </si>
  <si>
    <t>JENBACHER 420</t>
  </si>
  <si>
    <t>JENBACHER 416</t>
  </si>
  <si>
    <t>JENBACHER 320</t>
  </si>
  <si>
    <t>JENBACHER 316</t>
  </si>
  <si>
    <t>JENBACHER 312</t>
  </si>
  <si>
    <t>DEUTZ 1</t>
  </si>
  <si>
    <t>DEUTZ 827</t>
  </si>
  <si>
    <t>DEUTZ 716</t>
  </si>
  <si>
    <t>DEUTZ 537</t>
  </si>
  <si>
    <t>GUASCOR 838</t>
  </si>
  <si>
    <t>GUASCOR 930</t>
  </si>
  <si>
    <t>EVW 40</t>
  </si>
  <si>
    <t>EVW 31</t>
  </si>
  <si>
    <t>WAUKESHA 1</t>
  </si>
  <si>
    <t xml:space="preserve">CUMMINS </t>
  </si>
  <si>
    <t>SCHNELL MICROTURBINE</t>
  </si>
  <si>
    <t>PERKINS 850</t>
  </si>
  <si>
    <t>PERKINS 23TRS2</t>
  </si>
  <si>
    <t>PERKINS 4008-2</t>
  </si>
  <si>
    <t>STERLING</t>
  </si>
  <si>
    <t>CV-Ketel</t>
  </si>
  <si>
    <t>SCANIA</t>
  </si>
  <si>
    <t>JOHN DEERE</t>
  </si>
  <si>
    <t>HOUTKACHEL</t>
  </si>
  <si>
    <t>JENBACHER 616</t>
  </si>
  <si>
    <t>price</t>
  </si>
  <si>
    <t>maintenance</t>
  </si>
  <si>
    <t>revision</t>
  </si>
  <si>
    <t>gas_calorific value</t>
  </si>
  <si>
    <t>mechanical_power</t>
  </si>
  <si>
    <t>mechanical_efficiency</t>
  </si>
  <si>
    <t>electrical_efficiency</t>
  </si>
  <si>
    <t>(HT+RG tot 120°C+LT+Radiation)</t>
  </si>
  <si>
    <t>(HT+RG tot 80°C+LT+Radiation)</t>
  </si>
  <si>
    <t>thermal_efficiency</t>
  </si>
  <si>
    <t>guaranted_hours</t>
  </si>
  <si>
    <t>€</t>
  </si>
  <si>
    <t>€/operating hour</t>
  </si>
  <si>
    <t>hours</t>
  </si>
  <si>
    <t>kn/kWh</t>
  </si>
  <si>
    <t>TOTAL</t>
  </si>
  <si>
    <t>Grants</t>
  </si>
  <si>
    <t>Credit line</t>
  </si>
  <si>
    <t>MRR 50 %</t>
  </si>
  <si>
    <t>MRR 70%</t>
  </si>
  <si>
    <t>MRR 90 %</t>
  </si>
  <si>
    <t>HBOR</t>
  </si>
  <si>
    <t>tarrif_system</t>
  </si>
  <si>
    <t>d</t>
  </si>
  <si>
    <t>elektrane na biomasu, uključujući biorazgradive dijelove industrijskog i komunalnog otpada</t>
  </si>
  <si>
    <t>d.1.</t>
  </si>
  <si>
    <t>elektrane na biomasu &lt; 300 kW</t>
  </si>
  <si>
    <t>d.2.</t>
  </si>
  <si>
    <t>d.3.</t>
  </si>
  <si>
    <t>elektrane na biomasu 300 kW - 2 MW</t>
  </si>
  <si>
    <t>elektrane na biomasu &gt; 2 MW</t>
  </si>
  <si>
    <t>f</t>
  </si>
  <si>
    <t>f.1.</t>
  </si>
  <si>
    <t>f.2.</t>
  </si>
  <si>
    <t>f.3.</t>
  </si>
  <si>
    <t>elektrane na bioplin iz poljoprivrednih kultura te organskih ostataka, otpada biljnog i životinjskog podrijetla, biorazgradivog otpada, deponijski plin i plin iz postrojenja za pročišćavanje otpadnih voda</t>
  </si>
  <si>
    <t>elektrane na bioplin &lt; 300 kW</t>
  </si>
  <si>
    <t>elektrane na bioplin 300 kW - 2 MW</t>
  </si>
  <si>
    <t>elektrane na bioplin &gt; 2 MW</t>
  </si>
  <si>
    <t>HRK/kW</t>
  </si>
  <si>
    <r>
      <rPr>
        <sz val="11"/>
        <color theme="1"/>
        <rFont val="Calibri"/>
        <family val="2"/>
      </rPr>
      <t>€</t>
    </r>
    <r>
      <rPr>
        <sz val="11"/>
        <color theme="1"/>
        <rFont val="Calibri"/>
        <family val="2"/>
        <charset val="238"/>
      </rPr>
      <t>/kW</t>
    </r>
  </si>
  <si>
    <t>H act.</t>
  </si>
  <si>
    <t>m</t>
  </si>
  <si>
    <t>H constr.</t>
  </si>
  <si>
    <t>1 m free board</t>
  </si>
  <si>
    <t>!</t>
  </si>
  <si>
    <r>
      <t>% CH</t>
    </r>
    <r>
      <rPr>
        <i/>
        <sz val="8"/>
        <color theme="2" tint="-0.499984740745262"/>
        <rFont val="Calibri"/>
        <family val="2"/>
      </rPr>
      <t xml:space="preserve">4 </t>
    </r>
  </si>
  <si>
    <r>
      <t>MJ/m</t>
    </r>
    <r>
      <rPr>
        <i/>
        <sz val="11"/>
        <color theme="2" tint="-0.499984740745262"/>
        <rFont val="Calibri"/>
        <family val="2"/>
      </rPr>
      <t>³</t>
    </r>
  </si>
  <si>
    <r>
      <t>kW/m</t>
    </r>
    <r>
      <rPr>
        <i/>
        <sz val="11"/>
        <color theme="2" tint="-0.499984740745262"/>
        <rFont val="Calibri"/>
        <family val="2"/>
      </rPr>
      <t>³</t>
    </r>
  </si>
  <si>
    <t>kW</t>
  </si>
  <si>
    <t>kWe</t>
  </si>
  <si>
    <t>kWth</t>
  </si>
  <si>
    <t>€/kWel</t>
  </si>
  <si>
    <t>Profit</t>
  </si>
  <si>
    <t>cumul</t>
  </si>
  <si>
    <t>IRR</t>
  </si>
  <si>
    <r>
      <t>kW</t>
    </r>
    <r>
      <rPr>
        <sz val="8"/>
        <color theme="1"/>
        <rFont val="Calibri"/>
        <family val="2"/>
        <scheme val="minor"/>
      </rPr>
      <t>el.</t>
    </r>
  </si>
  <si>
    <r>
      <t>kW</t>
    </r>
    <r>
      <rPr>
        <sz val="8"/>
        <color theme="1"/>
        <rFont val="Calibri"/>
        <family val="2"/>
        <scheme val="minor"/>
      </rPr>
      <t>th.</t>
    </r>
  </si>
  <si>
    <t>Gđa.</t>
  </si>
  <si>
    <t>Gdin.</t>
  </si>
  <si>
    <t>KOMERCIJALNA BANKA</t>
  </si>
  <si>
    <t>čvrsta frakcija</t>
  </si>
  <si>
    <t>tekuća frakcija</t>
  </si>
  <si>
    <t>odlaganje stajnjaka - vlastita površina</t>
  </si>
  <si>
    <t>odlaganje stajnjaka - kooperacija</t>
  </si>
  <si>
    <t>mliječne krave</t>
  </si>
  <si>
    <t>mlada goveda</t>
  </si>
  <si>
    <t>krave</t>
  </si>
  <si>
    <t>prasad</t>
  </si>
  <si>
    <t>krmače</t>
  </si>
  <si>
    <t>perad</t>
  </si>
  <si>
    <t>svinje</t>
  </si>
  <si>
    <t>kukuruz</t>
  </si>
  <si>
    <r>
      <t>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charset val="238"/>
      </rPr>
      <t>/godina</t>
    </r>
  </si>
  <si>
    <t>Baza CHP motora</t>
  </si>
  <si>
    <t>PODATCI O TVRTCI/ OPG-u</t>
  </si>
  <si>
    <t>Naziv tvrtke</t>
  </si>
  <si>
    <t>Investitor</t>
  </si>
  <si>
    <t>Adresa</t>
  </si>
  <si>
    <t>PP</t>
  </si>
  <si>
    <t>PODATCI O POLJOPRIVREDNIM RESURSIMA</t>
  </si>
  <si>
    <t>Stočarska proizvodnja</t>
  </si>
  <si>
    <t>Tip</t>
  </si>
  <si>
    <t>Broj životinja</t>
  </si>
  <si>
    <t>Ratarska proizvodnja</t>
  </si>
  <si>
    <t>Poljoprivredno zemljište</t>
  </si>
  <si>
    <t>Ukupna površina</t>
  </si>
  <si>
    <t>Vlastito</t>
  </si>
  <si>
    <t>U kooperaciji</t>
  </si>
  <si>
    <t>Broj čestica</t>
  </si>
  <si>
    <t>Udaljenost od farme</t>
  </si>
  <si>
    <t>Energetska potrošnja tvrtke/ OPG-a</t>
  </si>
  <si>
    <t>Električna energija</t>
  </si>
  <si>
    <t>Toplinska energija</t>
  </si>
  <si>
    <t>Energetski porezi</t>
  </si>
  <si>
    <t>kWh/godina</t>
  </si>
  <si>
    <t>Potrošnja toplinske en.</t>
  </si>
  <si>
    <t>Potrošnja električne en.</t>
  </si>
  <si>
    <t>kn/godišnje</t>
  </si>
  <si>
    <t>€/godišnje</t>
  </si>
  <si>
    <t>kn/mjesečno</t>
  </si>
  <si>
    <t>kWh/mjesečno</t>
  </si>
  <si>
    <t>UKUPNO</t>
  </si>
  <si>
    <t>PROIZVODNJA STAJSKOG GNOJIVA</t>
  </si>
  <si>
    <t>Proizvodnja stajnjaka</t>
  </si>
  <si>
    <t>Čvrsta frakcija</t>
  </si>
  <si>
    <t>Tekuća frakcija</t>
  </si>
  <si>
    <r>
      <t>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charset val="238"/>
      </rPr>
      <t>/godišnje</t>
    </r>
  </si>
  <si>
    <r>
      <t>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charset val="238"/>
      </rPr>
      <t>/godišnje/farma</t>
    </r>
  </si>
  <si>
    <t>Kapacitet skladištenja stajnjaka</t>
  </si>
  <si>
    <t>Trenutni način odlaganja stajnjaka</t>
  </si>
  <si>
    <t>Trošak odlaganja stajnjaka</t>
  </si>
  <si>
    <r>
      <t>€</t>
    </r>
    <r>
      <rPr>
        <sz val="11"/>
        <rFont val="Calibri"/>
        <family val="2"/>
        <charset val="238"/>
      </rPr>
      <t>/stajnjak</t>
    </r>
  </si>
  <si>
    <t>HRK/stajnjak</t>
  </si>
  <si>
    <t>ANALIZA BIOPLINSKOG POTENCIJALA</t>
  </si>
  <si>
    <t>Tip sirovine</t>
  </si>
  <si>
    <t>Volumen</t>
  </si>
  <si>
    <t>tona/godišnje</t>
  </si>
  <si>
    <t>SUHA TVAR</t>
  </si>
  <si>
    <r>
      <t>m</t>
    </r>
    <r>
      <rPr>
        <sz val="11"/>
        <rFont val="Calibri"/>
        <family val="2"/>
      </rPr>
      <t>³</t>
    </r>
    <r>
      <rPr>
        <sz val="11"/>
        <rFont val="Calibri"/>
        <family val="2"/>
        <charset val="238"/>
      </rPr>
      <t xml:space="preserve"> bioplina/tona</t>
    </r>
  </si>
  <si>
    <r>
      <t>m</t>
    </r>
    <r>
      <rPr>
        <sz val="11"/>
        <rFont val="Calibri"/>
        <family val="2"/>
      </rPr>
      <t>³</t>
    </r>
    <r>
      <rPr>
        <sz val="11"/>
        <rFont val="Calibri"/>
        <family val="2"/>
        <charset val="238"/>
      </rPr>
      <t>/tona</t>
    </r>
  </si>
  <si>
    <r>
      <t>m</t>
    </r>
    <r>
      <rPr>
        <sz val="11"/>
        <rFont val="Calibri"/>
        <family val="2"/>
      </rPr>
      <t>³</t>
    </r>
    <r>
      <rPr>
        <sz val="11"/>
        <rFont val="Calibri"/>
        <family val="2"/>
        <charset val="238"/>
      </rPr>
      <t>/godišnje</t>
    </r>
  </si>
  <si>
    <r>
      <t>m</t>
    </r>
    <r>
      <rPr>
        <sz val="11"/>
        <rFont val="Calibri"/>
        <family val="2"/>
      </rPr>
      <t>³ CH</t>
    </r>
    <r>
      <rPr>
        <sz val="8"/>
        <rFont val="Calibri"/>
        <family val="2"/>
      </rPr>
      <t>4</t>
    </r>
    <r>
      <rPr>
        <sz val="11"/>
        <rFont val="Calibri"/>
        <family val="2"/>
        <charset val="238"/>
      </rPr>
      <t>/godišnje</t>
    </r>
  </si>
  <si>
    <t>kg/tona</t>
  </si>
  <si>
    <t>Ugljikohidrati</t>
  </si>
  <si>
    <t>Proteini</t>
  </si>
  <si>
    <t>Maasnoće</t>
  </si>
  <si>
    <t>kg/godišnje</t>
  </si>
  <si>
    <t>Goveđi stajnjak</t>
  </si>
  <si>
    <t>Svježi stajnjak</t>
  </si>
  <si>
    <t>Svinjski stajnjak</t>
  </si>
  <si>
    <t>Energetski usjevi</t>
  </si>
  <si>
    <t>Kukuruz</t>
  </si>
  <si>
    <t>CCM (kukuruz klip)</t>
  </si>
  <si>
    <t>t/godišnje</t>
  </si>
  <si>
    <t>DIGESTOR - TOTAL</t>
  </si>
  <si>
    <t>Preporuke - opt</t>
  </si>
  <si>
    <t>ENERGETSKI USJEVI vs. STAJNJAK</t>
  </si>
  <si>
    <t>stajnjak</t>
  </si>
  <si>
    <t>energetski usjevi</t>
  </si>
  <si>
    <t>udio energetskih usjeva</t>
  </si>
  <si>
    <r>
      <t>% CH</t>
    </r>
    <r>
      <rPr>
        <sz val="8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u bioplinu</t>
    </r>
  </si>
  <si>
    <r>
      <t>m</t>
    </r>
    <r>
      <rPr>
        <b/>
        <sz val="11"/>
        <rFont val="Calibri"/>
        <family val="2"/>
      </rPr>
      <t>³ bioplina/ godišnje</t>
    </r>
  </si>
  <si>
    <t>PODATCI O TVRTCI / OPG-u</t>
  </si>
  <si>
    <t>KARAKTERISTIKE DIGESTORA</t>
  </si>
  <si>
    <t>t/dnevno</t>
  </si>
  <si>
    <t>max. 5 kg OS/m³ dnevno</t>
  </si>
  <si>
    <t>DIZAJN DIGESTORA</t>
  </si>
  <si>
    <t>Količina sirovine</t>
  </si>
  <si>
    <t>Stajnjak</t>
  </si>
  <si>
    <t>Operativno vrijeme</t>
  </si>
  <si>
    <t>HRT (hidrauličko vrijeme retencije)</t>
  </si>
  <si>
    <t>Potrebni aktivni volumen</t>
  </si>
  <si>
    <t>OLR (organsko opterećenje)</t>
  </si>
  <si>
    <r>
      <t>kg OM/m</t>
    </r>
    <r>
      <rPr>
        <b/>
        <sz val="11"/>
        <color theme="1"/>
        <rFont val="Calibri"/>
        <family val="2"/>
      </rPr>
      <t>³ dnevno</t>
    </r>
  </si>
  <si>
    <t>dana/ godišnje</t>
  </si>
  <si>
    <t>dana</t>
  </si>
  <si>
    <r>
      <t>m</t>
    </r>
    <r>
      <rPr>
        <b/>
        <sz val="11"/>
        <color theme="1"/>
        <rFont val="Calibri"/>
        <family val="2"/>
      </rPr>
      <t>³/dnevno</t>
    </r>
  </si>
  <si>
    <r>
      <t>m</t>
    </r>
    <r>
      <rPr>
        <sz val="11"/>
        <color theme="1"/>
        <rFont val="Calibri"/>
        <family val="2"/>
      </rPr>
      <t>³/dnevno</t>
    </r>
  </si>
  <si>
    <t>Broj digestora</t>
  </si>
  <si>
    <t>Digestor - aktivni volumen</t>
  </si>
  <si>
    <t>Promjer digestora</t>
  </si>
  <si>
    <t>Gornja granica proširenja</t>
  </si>
  <si>
    <t>ton OM/godišnje</t>
  </si>
  <si>
    <t>tona biomase/ godišnje</t>
  </si>
  <si>
    <t>PROIZVODNJA BIOPLINA</t>
  </si>
  <si>
    <t>Ukupna proizvodnja bioplina</t>
  </si>
  <si>
    <t>Ukupna proizvodnja energije</t>
  </si>
  <si>
    <r>
      <t>m</t>
    </r>
    <r>
      <rPr>
        <b/>
        <sz val="11"/>
        <color theme="1"/>
        <rFont val="Calibri"/>
        <family val="2"/>
      </rPr>
      <t>³ bioplina/ godišnje</t>
    </r>
  </si>
  <si>
    <r>
      <t>m</t>
    </r>
    <r>
      <rPr>
        <b/>
        <sz val="11"/>
        <rFont val="Calibri"/>
        <family val="2"/>
      </rPr>
      <t>³ CH</t>
    </r>
    <r>
      <rPr>
        <b/>
        <sz val="8"/>
        <rFont val="Calibri"/>
        <family val="2"/>
      </rPr>
      <t>4</t>
    </r>
    <r>
      <rPr>
        <b/>
        <sz val="11"/>
        <rFont val="Calibri"/>
        <family val="2"/>
      </rPr>
      <t>/godišnje</t>
    </r>
  </si>
  <si>
    <r>
      <t>CH</t>
    </r>
    <r>
      <rPr>
        <sz val="8"/>
        <rFont val="Calibri"/>
        <family val="2"/>
      </rPr>
      <t>4 - efikasnost</t>
    </r>
  </si>
  <si>
    <t>tot. MWh/godišnje</t>
  </si>
  <si>
    <t>Preporuke</t>
  </si>
  <si>
    <t>CHP JEDINICA</t>
  </si>
  <si>
    <t>Operativni sati</t>
  </si>
  <si>
    <t>CHP brand</t>
  </si>
  <si>
    <t>CHP odabrani tip</t>
  </si>
  <si>
    <t>sati/ godišnje</t>
  </si>
  <si>
    <t>Operativni opseg jedinice</t>
  </si>
  <si>
    <t>Karakteristike CHP motora</t>
  </si>
  <si>
    <t>potrošnja bioplina u punoj snazi</t>
  </si>
  <si>
    <t>stvarna učinkovitost</t>
  </si>
  <si>
    <t>mehanička efikasnost</t>
  </si>
  <si>
    <t>mehanički kapacitet</t>
  </si>
  <si>
    <t>električna efikasnost</t>
  </si>
  <si>
    <t>proizvedena električna energija</t>
  </si>
  <si>
    <t>termička efikasnost</t>
  </si>
  <si>
    <t>termički kapacitet</t>
  </si>
  <si>
    <t>Proizvođač - info</t>
  </si>
  <si>
    <t>Sigurnosni faktor</t>
  </si>
  <si>
    <t>Proizvodnja električne energije</t>
  </si>
  <si>
    <t>Smanjenje električne efikasnosti</t>
  </si>
  <si>
    <t>godišnje</t>
  </si>
  <si>
    <t>Godina</t>
  </si>
  <si>
    <t>Električni kapacitet</t>
  </si>
  <si>
    <t>Ukupno proizvedena el. energija</t>
  </si>
  <si>
    <t>Višak el. energije (siva energija)</t>
  </si>
  <si>
    <r>
      <t>kW</t>
    </r>
    <r>
      <rPr>
        <sz val="8"/>
        <color theme="1"/>
        <rFont val="Calibri"/>
        <family val="2"/>
        <scheme val="minor"/>
      </rPr>
      <t>el.</t>
    </r>
    <r>
      <rPr>
        <sz val="11"/>
        <color theme="1"/>
        <rFont val="Calibri"/>
        <family val="2"/>
        <scheme val="minor"/>
      </rPr>
      <t>/godišnje</t>
    </r>
  </si>
  <si>
    <r>
      <t>kW</t>
    </r>
    <r>
      <rPr>
        <b/>
        <sz val="8"/>
        <color theme="1"/>
        <rFont val="Calibri"/>
        <family val="2"/>
        <scheme val="minor"/>
      </rPr>
      <t>el.</t>
    </r>
    <r>
      <rPr>
        <b/>
        <sz val="11"/>
        <color theme="1"/>
        <rFont val="Calibri"/>
        <family val="2"/>
        <scheme val="minor"/>
      </rPr>
      <t>/godišnje</t>
    </r>
  </si>
  <si>
    <t>Potrošnja električne energije</t>
  </si>
  <si>
    <t>Digestor - potrošnja energije</t>
  </si>
  <si>
    <t>CHP jedinica - potrošnja energije</t>
  </si>
  <si>
    <t>Potrošnja plina (max.)</t>
  </si>
  <si>
    <t>Potrošnja digestora</t>
  </si>
  <si>
    <t>Potrošnja toplinske energije</t>
  </si>
  <si>
    <r>
      <t>MW</t>
    </r>
    <r>
      <rPr>
        <b/>
        <sz val="8"/>
        <color theme="1"/>
        <rFont val="Calibri"/>
        <family val="2"/>
        <scheme val="minor"/>
      </rPr>
      <t>el.</t>
    </r>
    <r>
      <rPr>
        <b/>
        <sz val="11"/>
        <color theme="1"/>
        <rFont val="Calibri"/>
        <family val="2"/>
        <scheme val="minor"/>
      </rPr>
      <t>/godišnje</t>
    </r>
  </si>
  <si>
    <t>MWel./godišnje</t>
  </si>
  <si>
    <r>
      <t>MWh</t>
    </r>
    <r>
      <rPr>
        <b/>
        <sz val="8"/>
        <color theme="1"/>
        <rFont val="Calibri"/>
        <family val="2"/>
        <scheme val="minor"/>
      </rPr>
      <t>th.</t>
    </r>
    <r>
      <rPr>
        <b/>
        <sz val="11"/>
        <color theme="1"/>
        <rFont val="Calibri"/>
        <family val="2"/>
        <scheme val="minor"/>
      </rPr>
      <t>/godišnje</t>
    </r>
  </si>
  <si>
    <t>TEHNIČKI SAŽETAK PROJEKTA</t>
  </si>
  <si>
    <t>INSTALIRANA SNAGA</t>
  </si>
  <si>
    <t>motor</t>
  </si>
  <si>
    <t>sirovina</t>
  </si>
  <si>
    <t>tona/ godišnje</t>
  </si>
  <si>
    <t>stajnjak - tekuća frakcija</t>
  </si>
  <si>
    <t>stajnjak - čvrsta frakcija</t>
  </si>
  <si>
    <t>brojnost životinja</t>
  </si>
  <si>
    <t>digestor - potrošnja toplinske en.</t>
  </si>
  <si>
    <t>digestor - potrošnja električne en.</t>
  </si>
  <si>
    <t>toplinska energija</t>
  </si>
  <si>
    <t>FINANCIJSKI PREGLED PROJEKTA</t>
  </si>
  <si>
    <t>Investicijski troškovi</t>
  </si>
  <si>
    <t>Operativni troškovi</t>
  </si>
  <si>
    <t>trošak osoblja</t>
  </si>
  <si>
    <t>održavanje CHP jedinice</t>
  </si>
  <si>
    <t>laboratorijske analize</t>
  </si>
  <si>
    <t>administrativni troškovi rada postrojenja</t>
  </si>
  <si>
    <t>osiguranje postrojenja</t>
  </si>
  <si>
    <t>Tip poticajne mjere</t>
  </si>
  <si>
    <t>MRR program - % investicijskog troška</t>
  </si>
  <si>
    <t>investicijski trošak</t>
  </si>
  <si>
    <t>MRR program - poticaj</t>
  </si>
  <si>
    <t>UKUPNI trošak za investitora</t>
  </si>
  <si>
    <r>
      <t>INVESTICIJSKI TROŠAK / kW</t>
    </r>
    <r>
      <rPr>
        <sz val="8"/>
        <color theme="0"/>
        <rFont val="Calibri"/>
        <family val="2"/>
        <charset val="238"/>
        <scheme val="minor"/>
      </rPr>
      <t>el.</t>
    </r>
  </si>
  <si>
    <t>INVESTICIJSKI TROŠAK</t>
  </si>
  <si>
    <t>bez poticajne mjere</t>
  </si>
  <si>
    <t>poticajna mjera - 50 % investicije</t>
  </si>
  <si>
    <t>poticajna mjera - 70 % investicije</t>
  </si>
  <si>
    <t>GODIŠNJI FINANCIJSKI PARAMETRI</t>
  </si>
  <si>
    <t>kreditna kamatna stopa</t>
  </si>
  <si>
    <t>indeksacija operativnih troškova</t>
  </si>
  <si>
    <t>godišnja varijabilna stopa cijene energije</t>
  </si>
  <si>
    <t>godina ulaganja</t>
  </si>
  <si>
    <t>amortizacija investicijskih troškova</t>
  </si>
  <si>
    <t>operativni troškovi</t>
  </si>
  <si>
    <t>profit - potrošnja vlastite energije</t>
  </si>
  <si>
    <t>prihod - proizvodnja energije</t>
  </si>
  <si>
    <t>SAŽETAK BIOPLINSKOG PROJEKTA</t>
  </si>
  <si>
    <t>ULAZNE SIROVINE</t>
  </si>
  <si>
    <t>DIGESTOR</t>
  </si>
  <si>
    <t>DIGESTAT</t>
  </si>
  <si>
    <t>SIROVINA</t>
  </si>
  <si>
    <t>broj životinja</t>
  </si>
  <si>
    <t>ukupno</t>
  </si>
  <si>
    <t>OPERATIVNI PARAMETRI</t>
  </si>
  <si>
    <t>organsko opterećenje</t>
  </si>
  <si>
    <r>
      <t>kg OM/m</t>
    </r>
    <r>
      <rPr>
        <sz val="11"/>
        <color theme="1"/>
        <rFont val="Calibri"/>
        <family val="2"/>
      </rPr>
      <t>³ dnevno</t>
    </r>
  </si>
  <si>
    <t xml:space="preserve">GODIŠNJA PROIZVODNJA </t>
  </si>
  <si>
    <t>Proizvodnja bioplina</t>
  </si>
  <si>
    <t>Ukupna proizvodnja el. en.</t>
  </si>
  <si>
    <t>Ukupna proizvodnja th. en.</t>
  </si>
  <si>
    <r>
      <t>m</t>
    </r>
    <r>
      <rPr>
        <sz val="11"/>
        <color theme="1"/>
        <rFont val="Calibri"/>
        <family val="2"/>
      </rPr>
      <t>³ bioplin/ godišnje</t>
    </r>
  </si>
  <si>
    <r>
      <t>m</t>
    </r>
    <r>
      <rPr>
        <sz val="11"/>
        <rFont val="Calibri"/>
        <family val="2"/>
      </rPr>
      <t>³ CH</t>
    </r>
    <r>
      <rPr>
        <sz val="8"/>
        <rFont val="Calibri"/>
        <family val="2"/>
      </rPr>
      <t>4</t>
    </r>
    <r>
      <rPr>
        <sz val="11"/>
        <rFont val="Calibri"/>
        <family val="2"/>
      </rPr>
      <t>/godišnje</t>
    </r>
  </si>
  <si>
    <t>GODIŠNJA PROIZVODNJA</t>
  </si>
  <si>
    <t>Proizvedena el. en.</t>
  </si>
  <si>
    <t>Siva en.</t>
  </si>
  <si>
    <t>POLJOPRIVREDNA PROIZVODNJA - ODLAGANJE</t>
  </si>
  <si>
    <t>Digestat - svježe stanje</t>
  </si>
  <si>
    <t>Digestat - čvrsta frakcija</t>
  </si>
  <si>
    <t>Digestat - tekuća frakcija</t>
  </si>
  <si>
    <t>INEMAD bioplinski kalkulator</t>
  </si>
  <si>
    <t xml:space="preserve">
BIOPLINSKI KALKULATOR
izbornik</t>
  </si>
  <si>
    <t xml:space="preserve">OS </t>
  </si>
  <si>
    <t>t/ godišnje</t>
  </si>
  <si>
    <t>Električna efikasnost</t>
  </si>
  <si>
    <r>
      <t>kW</t>
    </r>
    <r>
      <rPr>
        <b/>
        <sz val="8"/>
        <color theme="1"/>
        <rFont val="Calibri"/>
        <family val="2"/>
        <scheme val="minor"/>
      </rPr>
      <t>el./god</t>
    </r>
  </si>
  <si>
    <t>Ukupno proizvedena električna energija</t>
  </si>
  <si>
    <t>motor - potrošnja električne energije</t>
  </si>
  <si>
    <t>jedinična cijena usjeva (€/t)</t>
  </si>
  <si>
    <t>količina usjeva (t)</t>
  </si>
  <si>
    <t>operativni trošak *</t>
  </si>
  <si>
    <t>CHP tip</t>
  </si>
  <si>
    <t>bioplin</t>
  </si>
  <si>
    <t>metan</t>
  </si>
  <si>
    <t>PROIZVODNJA DIGESTATA</t>
  </si>
  <si>
    <t>Ukupna proizvodnja digestata</t>
  </si>
  <si>
    <t>Ukupna sirovina</t>
  </si>
  <si>
    <t>jedinica</t>
  </si>
  <si>
    <t>POTICAJNE MJERE</t>
  </si>
  <si>
    <t>FINANCIJSKA STRUKTURA PROJEKTA</t>
  </si>
  <si>
    <t>sat/dan</t>
  </si>
  <si>
    <t>€/sat</t>
  </si>
  <si>
    <t xml:space="preserve">! </t>
  </si>
  <si>
    <t>&lt;200 kWel - 4 sata dnevno</t>
  </si>
  <si>
    <t>200 - 500 kWel - 8 sati dnevno</t>
  </si>
  <si>
    <t>&gt; 500 kWel - 24 sati dnevno</t>
  </si>
  <si>
    <t>€/sati rada motora</t>
  </si>
  <si>
    <t>&lt; 200 kWel - 1,5 €/sat</t>
  </si>
  <si>
    <t>200 - 500 kWel - 4 €/sat</t>
  </si>
  <si>
    <t>&gt; 500 kWel - 11,5 €/sat</t>
  </si>
  <si>
    <t>radni sati motora</t>
  </si>
  <si>
    <r>
      <t>kWh/m</t>
    </r>
    <r>
      <rPr>
        <b/>
        <sz val="11"/>
        <color theme="1"/>
        <rFont val="Calibri"/>
        <family val="2"/>
      </rPr>
      <t>³ bioplina</t>
    </r>
  </si>
  <si>
    <t>kWh/ total</t>
  </si>
  <si>
    <t>kWh (50 % el.)</t>
  </si>
  <si>
    <t>BIOPLINSKI KALKULATOR</t>
  </si>
  <si>
    <r>
      <rPr>
        <b/>
        <sz val="24"/>
        <color rgb="FF594D41"/>
        <rFont val="Calibri"/>
        <family val="2"/>
        <scheme val="minor"/>
      </rPr>
      <t xml:space="preserve">INEMAD </t>
    </r>
    <r>
      <rPr>
        <b/>
        <sz val="16"/>
        <color rgb="FF594D41"/>
        <rFont val="Calibri"/>
        <family val="2"/>
        <scheme val="minor"/>
      </rPr>
      <t xml:space="preserve">
Improved Nutrient and Energy Management through Anerobic Digestion
Poboljšano upravljanje hranjivima i energijom primjenom anaerobne digestije
</t>
    </r>
  </si>
  <si>
    <t>Prosječna vrijednost izgradnje postrojenja</t>
  </si>
  <si>
    <r>
      <t>/ kW</t>
    </r>
    <r>
      <rPr>
        <sz val="8"/>
        <color theme="1"/>
        <rFont val="Calibri"/>
        <family val="2"/>
        <scheme val="minor"/>
      </rPr>
      <t>el.</t>
    </r>
  </si>
  <si>
    <r>
      <t>6398 €/kW</t>
    </r>
    <r>
      <rPr>
        <sz val="10"/>
        <color theme="1"/>
        <rFont val="Calibri"/>
        <family val="2"/>
        <scheme val="minor"/>
      </rPr>
      <t>el.</t>
    </r>
  </si>
  <si>
    <r>
      <t>3791 €/kW</t>
    </r>
    <r>
      <rPr>
        <sz val="10"/>
        <color theme="1"/>
        <rFont val="Calibri"/>
        <family val="2"/>
        <scheme val="minor"/>
      </rPr>
      <t>el.</t>
    </r>
  </si>
  <si>
    <r>
      <t>3346 €/kW</t>
    </r>
    <r>
      <rPr>
        <sz val="10"/>
        <color theme="1"/>
        <rFont val="Calibri"/>
        <family val="2"/>
        <scheme val="minor"/>
      </rPr>
      <t>el.</t>
    </r>
  </si>
  <si>
    <t>Odaberite prosječnu cijenu prema veličini postrojenja</t>
  </si>
  <si>
    <r>
      <t>&lt; 250 kW</t>
    </r>
    <r>
      <rPr>
        <b/>
        <sz val="9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.</t>
    </r>
  </si>
  <si>
    <r>
      <t>250 - 500 kW</t>
    </r>
    <r>
      <rPr>
        <b/>
        <sz val="9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.</t>
    </r>
  </si>
  <si>
    <r>
      <t>500 - 1000 kW</t>
    </r>
    <r>
      <rPr>
        <b/>
        <sz val="9"/>
        <color theme="1"/>
        <rFont val="Calibri"/>
        <family val="2"/>
        <scheme val="minor"/>
      </rPr>
      <t>el</t>
    </r>
    <r>
      <rPr>
        <b/>
        <sz val="11"/>
        <color theme="1"/>
        <rFont val="Calibri"/>
        <family val="2"/>
        <scheme val="minor"/>
      </rPr>
      <t>.</t>
    </r>
  </si>
  <si>
    <t>Masnoće</t>
  </si>
  <si>
    <t>Preporuka: unijeti vrijednost u rasponu 5 - 10</t>
  </si>
  <si>
    <t>Razdoblje povrata projekta</t>
  </si>
  <si>
    <t>Godišnja vrijednost projekta</t>
  </si>
  <si>
    <t>odaberite 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</si>
</sst>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k_n_-;\-* #,##0.00\ _k_n_-;_-* &quot;-&quot;??\ _k_n_-;_-@_-"/>
    <numFmt numFmtId="165" formatCode="0.0%"/>
    <numFmt numFmtId="166" formatCode="#,##0.00\ [$€-1];\-#,##0.00\ [$€-1]"/>
    <numFmt numFmtId="167" formatCode="0.0"/>
    <numFmt numFmtId="168" formatCode="#,##0.00\ [$€-1]"/>
    <numFmt numFmtId="169" formatCode="&quot;€&quot;\ #,##0.00;[Red]&quot;€&quot;\ \-#,##0.00"/>
  </numFmts>
  <fonts count="5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</font>
    <font>
      <i/>
      <sz val="11"/>
      <color theme="0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48"/>
      <color rgb="FFDADE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2" tint="-0.499984740745262"/>
      <name val="Calibri"/>
      <family val="2"/>
      <scheme val="minor"/>
    </font>
    <font>
      <i/>
      <sz val="10"/>
      <color theme="2" tint="-0.499984740745262"/>
      <name val="Calibri"/>
      <family val="2"/>
      <scheme val="minor"/>
    </font>
    <font>
      <b/>
      <sz val="8"/>
      <name val="Calibri"/>
      <family val="2"/>
    </font>
    <font>
      <i/>
      <sz val="11"/>
      <color theme="2" tint="-0.499984740745262"/>
      <name val="Calibri"/>
      <family val="2"/>
    </font>
    <font>
      <i/>
      <sz val="8"/>
      <color theme="2" tint="-0.499984740745262"/>
      <name val="Calibri"/>
      <family val="2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8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48"/>
      <color theme="2" tint="-0.74999237037263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3"/>
      <name val="Calibri"/>
      <family val="2"/>
      <scheme val="minor"/>
    </font>
    <font>
      <b/>
      <i/>
      <sz val="36"/>
      <name val="Calibri"/>
      <family val="2"/>
      <scheme val="minor"/>
    </font>
    <font>
      <b/>
      <sz val="16"/>
      <color theme="2" tint="-0.499984740745262"/>
      <name val="Calibri Light"/>
      <family val="2"/>
      <scheme val="major"/>
    </font>
    <font>
      <i/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594D41"/>
      <name val="Calibri"/>
      <family val="2"/>
      <scheme val="minor"/>
    </font>
    <font>
      <b/>
      <sz val="24"/>
      <color rgb="FF594D41"/>
      <name val="Calibri"/>
      <family val="2"/>
      <scheme val="minor"/>
    </font>
    <font>
      <b/>
      <sz val="16"/>
      <color theme="0" tint="-0.499984740745262"/>
      <name val="Calibri Light"/>
      <family val="2"/>
      <scheme val="major"/>
    </font>
    <font>
      <b/>
      <sz val="48"/>
      <color rgb="FF594D41"/>
      <name val="Calibri"/>
      <family val="2"/>
      <scheme val="minor"/>
    </font>
    <font>
      <b/>
      <sz val="18"/>
      <color theme="0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94D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594D41"/>
      </bottom>
      <diagonal/>
    </border>
    <border>
      <left/>
      <right/>
      <top style="thin">
        <color rgb="FF594D4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328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2" borderId="0" xfId="0" applyFill="1" applyAlignment="1"/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0" xfId="0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/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0" fillId="0" borderId="0" xfId="1" applyNumberFormat="1" applyFont="1" applyAlignment="1">
      <alignment horizontal="center" vertical="center"/>
    </xf>
    <xf numFmtId="166" fontId="0" fillId="0" borderId="0" xfId="0" applyNumberFormat="1"/>
    <xf numFmtId="166" fontId="8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0" fontId="0" fillId="0" borderId="0" xfId="0" applyFill="1"/>
    <xf numFmtId="0" fontId="8" fillId="0" borderId="0" xfId="0" applyFont="1"/>
    <xf numFmtId="0" fontId="0" fillId="0" borderId="0" xfId="0" applyAlignment="1"/>
    <xf numFmtId="0" fontId="0" fillId="5" borderId="1" xfId="0" applyFill="1" applyBorder="1"/>
    <xf numFmtId="0" fontId="0" fillId="5" borderId="0" xfId="0" applyFill="1" applyBorder="1"/>
    <xf numFmtId="0" fontId="0" fillId="5" borderId="0" xfId="0" applyFill="1"/>
    <xf numFmtId="0" fontId="17" fillId="5" borderId="0" xfId="0" applyFont="1" applyFill="1"/>
    <xf numFmtId="2" fontId="0" fillId="5" borderId="0" xfId="0" applyNumberFormat="1" applyFill="1" applyAlignment="1">
      <alignment horizontal="center"/>
    </xf>
    <xf numFmtId="0" fontId="20" fillId="5" borderId="0" xfId="0" applyFont="1" applyFill="1"/>
    <xf numFmtId="1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/>
    <xf numFmtId="0" fontId="13" fillId="5" borderId="0" xfId="0" applyFont="1" applyFill="1" applyBorder="1" applyAlignment="1">
      <alignment horizontal="left" vertical="center"/>
    </xf>
    <xf numFmtId="0" fontId="34" fillId="5" borderId="0" xfId="0" applyFont="1" applyFill="1"/>
    <xf numFmtId="2" fontId="34" fillId="5" borderId="0" xfId="0" applyNumberFormat="1" applyFont="1" applyFill="1"/>
    <xf numFmtId="0" fontId="19" fillId="5" borderId="0" xfId="0" applyFont="1" applyFill="1"/>
    <xf numFmtId="0" fontId="2" fillId="5" borderId="0" xfId="0" applyFont="1" applyFill="1"/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left"/>
    </xf>
    <xf numFmtId="0" fontId="20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4" fillId="5" borderId="0" xfId="0" applyFont="1" applyFill="1" applyAlignment="1" applyProtection="1">
      <alignment horizontal="center" vertical="center"/>
      <protection locked="0"/>
    </xf>
    <xf numFmtId="0" fontId="0" fillId="5" borderId="0" xfId="0" applyFill="1" applyBorder="1" applyProtection="1">
      <protection locked="0"/>
    </xf>
    <xf numFmtId="0" fontId="4" fillId="5" borderId="0" xfId="0" applyFont="1" applyFill="1" applyBorder="1" applyProtection="1"/>
    <xf numFmtId="0" fontId="4" fillId="5" borderId="0" xfId="0" applyFont="1" applyFill="1" applyProtection="1"/>
    <xf numFmtId="0" fontId="2" fillId="5" borderId="0" xfId="0" applyFont="1" applyFill="1" applyBorder="1" applyProtection="1"/>
    <xf numFmtId="0" fontId="2" fillId="6" borderId="0" xfId="0" applyFont="1" applyFill="1" applyProtection="1"/>
    <xf numFmtId="0" fontId="2" fillId="5" borderId="0" xfId="0" applyFont="1" applyFill="1" applyProtection="1"/>
    <xf numFmtId="0" fontId="4" fillId="5" borderId="3" xfId="0" applyFont="1" applyFill="1" applyBorder="1" applyProtection="1"/>
    <xf numFmtId="0" fontId="7" fillId="5" borderId="0" xfId="0" applyFont="1" applyFill="1" applyAlignment="1" applyProtection="1">
      <alignment horizontal="center" vertical="center"/>
    </xf>
    <xf numFmtId="0" fontId="4" fillId="5" borderId="1" xfId="0" applyFont="1" applyFill="1" applyBorder="1" applyProtection="1"/>
    <xf numFmtId="0" fontId="4" fillId="5" borderId="0" xfId="0" applyFont="1" applyFill="1" applyAlignment="1" applyProtection="1">
      <alignment vertical="center"/>
    </xf>
    <xf numFmtId="0" fontId="4" fillId="5" borderId="2" xfId="0" applyFont="1" applyFill="1" applyBorder="1" applyProtection="1"/>
    <xf numFmtId="0" fontId="4" fillId="5" borderId="0" xfId="0" applyFont="1" applyFill="1" applyBorder="1" applyAlignment="1" applyProtection="1">
      <alignment horizontal="center"/>
    </xf>
    <xf numFmtId="0" fontId="14" fillId="5" borderId="0" xfId="0" applyFont="1" applyFill="1" applyProtection="1"/>
    <xf numFmtId="0" fontId="14" fillId="5" borderId="0" xfId="0" applyFont="1" applyFill="1" applyAlignment="1" applyProtection="1">
      <alignment horizontal="right"/>
    </xf>
    <xf numFmtId="0" fontId="15" fillId="5" borderId="0" xfId="0" applyFont="1" applyFill="1" applyProtection="1"/>
    <xf numFmtId="0" fontId="4" fillId="5" borderId="0" xfId="0" applyFont="1" applyFill="1" applyAlignment="1" applyProtection="1"/>
    <xf numFmtId="0" fontId="4" fillId="5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/>
    <xf numFmtId="0" fontId="2" fillId="6" borderId="0" xfId="0" applyFont="1" applyFill="1" applyAlignment="1" applyProtection="1">
      <alignment horizontal="center" vertical="center"/>
    </xf>
    <xf numFmtId="0" fontId="4" fillId="5" borderId="3" xfId="0" applyFont="1" applyFill="1" applyBorder="1" applyAlignment="1" applyProtection="1"/>
    <xf numFmtId="0" fontId="4" fillId="5" borderId="3" xfId="0" applyFont="1" applyFill="1" applyBorder="1" applyAlignment="1" applyProtection="1">
      <alignment horizontal="center" vertical="center"/>
    </xf>
    <xf numFmtId="0" fontId="0" fillId="5" borderId="0" xfId="0" applyFill="1" applyBorder="1" applyProtection="1"/>
    <xf numFmtId="0" fontId="5" fillId="5" borderId="0" xfId="0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2" fontId="4" fillId="5" borderId="0" xfId="0" applyNumberFormat="1" applyFont="1" applyFill="1" applyAlignment="1" applyProtection="1">
      <alignment horizontal="center" vertical="center"/>
    </xf>
    <xf numFmtId="165" fontId="4" fillId="5" borderId="0" xfId="1" applyNumberFormat="1" applyFont="1" applyFill="1" applyAlignment="1" applyProtection="1">
      <alignment horizontal="center" vertical="center"/>
    </xf>
    <xf numFmtId="9" fontId="4" fillId="5" borderId="0" xfId="1" applyNumberFormat="1" applyFont="1" applyFill="1" applyAlignment="1" applyProtection="1">
      <alignment horizontal="center" vertical="center"/>
    </xf>
    <xf numFmtId="0" fontId="14" fillId="5" borderId="0" xfId="0" applyFont="1" applyFill="1" applyBorder="1" applyProtection="1"/>
    <xf numFmtId="0" fontId="14" fillId="5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7" xfId="0" applyFont="1" applyFill="1" applyBorder="1" applyProtection="1"/>
    <xf numFmtId="0" fontId="4" fillId="0" borderId="8" xfId="0" applyFont="1" applyFill="1" applyBorder="1" applyAlignment="1" applyProtection="1">
      <alignment horizontal="center" vertical="center"/>
    </xf>
    <xf numFmtId="9" fontId="4" fillId="5" borderId="0" xfId="1" applyFont="1" applyFill="1" applyProtection="1"/>
    <xf numFmtId="0" fontId="4" fillId="5" borderId="0" xfId="0" applyFont="1" applyFill="1" applyAlignment="1" applyProtection="1">
      <alignment horizontal="center"/>
    </xf>
    <xf numFmtId="1" fontId="4" fillId="5" borderId="0" xfId="0" applyNumberFormat="1" applyFont="1" applyFill="1" applyAlignment="1" applyProtection="1">
      <alignment horizontal="center"/>
    </xf>
    <xf numFmtId="0" fontId="4" fillId="5" borderId="0" xfId="1" applyNumberFormat="1" applyFont="1" applyFill="1" applyAlignment="1" applyProtection="1">
      <alignment horizontal="center"/>
    </xf>
    <xf numFmtId="9" fontId="4" fillId="5" borderId="0" xfId="1" applyFont="1" applyFill="1" applyAlignment="1" applyProtection="1">
      <alignment horizontal="center"/>
    </xf>
    <xf numFmtId="0" fontId="14" fillId="5" borderId="0" xfId="0" applyFont="1" applyFill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2" fontId="14" fillId="5" borderId="0" xfId="0" applyNumberFormat="1" applyFont="1" applyFill="1" applyAlignment="1" applyProtection="1">
      <alignment horizontal="center"/>
    </xf>
    <xf numFmtId="2" fontId="4" fillId="5" borderId="1" xfId="0" applyNumberFormat="1" applyFont="1" applyFill="1" applyBorder="1" applyProtection="1"/>
    <xf numFmtId="9" fontId="4" fillId="5" borderId="0" xfId="0" applyNumberFormat="1" applyFont="1" applyFill="1" applyProtection="1"/>
    <xf numFmtId="10" fontId="4" fillId="5" borderId="0" xfId="1" applyNumberFormat="1" applyFont="1" applyFill="1" applyAlignment="1" applyProtection="1">
      <alignment horizontal="center" vertical="center"/>
    </xf>
    <xf numFmtId="9" fontId="4" fillId="5" borderId="0" xfId="1" applyFont="1" applyFill="1" applyAlignment="1" applyProtection="1">
      <alignment horizontal="center" vertical="center"/>
    </xf>
    <xf numFmtId="0" fontId="14" fillId="5" borderId="0" xfId="0" applyFont="1" applyFill="1" applyAlignment="1" applyProtection="1">
      <alignment horizontal="center" vertical="center"/>
    </xf>
    <xf numFmtId="0" fontId="2" fillId="6" borderId="1" xfId="0" applyFont="1" applyFill="1" applyBorder="1" applyProtection="1"/>
    <xf numFmtId="0" fontId="0" fillId="5" borderId="0" xfId="0" applyFill="1" applyProtection="1"/>
    <xf numFmtId="0" fontId="20" fillId="5" borderId="0" xfId="0" applyFont="1" applyFill="1" applyProtection="1"/>
    <xf numFmtId="0" fontId="17" fillId="5" borderId="0" xfId="0" applyFont="1" applyFill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/>
    </xf>
    <xf numFmtId="0" fontId="0" fillId="4" borderId="0" xfId="0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0" borderId="0" xfId="0" applyProtection="1"/>
    <xf numFmtId="0" fontId="0" fillId="5" borderId="0" xfId="0" applyFill="1" applyBorder="1" applyAlignment="1" applyProtection="1">
      <alignment horizontal="left" vertical="center"/>
    </xf>
    <xf numFmtId="0" fontId="34" fillId="5" borderId="0" xfId="0" applyFont="1" applyFill="1" applyProtection="1"/>
    <xf numFmtId="0" fontId="17" fillId="5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17" fillId="5" borderId="0" xfId="0" applyFont="1" applyFill="1" applyAlignment="1" applyProtection="1">
      <alignment horizontal="left"/>
    </xf>
    <xf numFmtId="0" fontId="17" fillId="5" borderId="0" xfId="0" applyFont="1" applyFill="1" applyAlignment="1" applyProtection="1">
      <alignment horizontal="left" vertical="center"/>
    </xf>
    <xf numFmtId="0" fontId="22" fillId="5" borderId="0" xfId="0" applyFont="1" applyFill="1" applyProtection="1"/>
    <xf numFmtId="0" fontId="17" fillId="5" borderId="0" xfId="0" applyFont="1" applyFill="1" applyProtection="1"/>
    <xf numFmtId="0" fontId="36" fillId="6" borderId="0" xfId="0" applyFont="1" applyFill="1" applyAlignment="1" applyProtection="1">
      <alignment horizontal="right"/>
    </xf>
    <xf numFmtId="0" fontId="37" fillId="6" borderId="0" xfId="0" applyFont="1" applyFill="1" applyProtection="1"/>
    <xf numFmtId="0" fontId="22" fillId="4" borderId="0" xfId="0" applyFont="1" applyFill="1" applyProtection="1"/>
    <xf numFmtId="0" fontId="22" fillId="0" borderId="0" xfId="0" applyFont="1" applyProtection="1"/>
    <xf numFmtId="0" fontId="0" fillId="5" borderId="0" xfId="0" applyFill="1" applyAlignment="1" applyProtection="1"/>
    <xf numFmtId="0" fontId="14" fillId="5" borderId="0" xfId="0" applyFont="1" applyFill="1" applyBorder="1" applyAlignment="1" applyProtection="1">
      <alignment horizontal="left" vertical="center"/>
    </xf>
    <xf numFmtId="0" fontId="25" fillId="5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left" vertical="center"/>
    </xf>
    <xf numFmtId="167" fontId="22" fillId="5" borderId="0" xfId="0" applyNumberFormat="1" applyFont="1" applyFill="1" applyProtection="1"/>
    <xf numFmtId="0" fontId="17" fillId="5" borderId="0" xfId="0" applyFont="1" applyFill="1" applyAlignment="1" applyProtection="1">
      <alignment horizontal="center"/>
    </xf>
    <xf numFmtId="9" fontId="0" fillId="5" borderId="0" xfId="1" applyFont="1" applyFill="1" applyProtection="1"/>
    <xf numFmtId="0" fontId="23" fillId="5" borderId="0" xfId="0" applyFont="1" applyFill="1" applyProtection="1"/>
    <xf numFmtId="9" fontId="23" fillId="5" borderId="0" xfId="1" applyFont="1" applyFill="1" applyProtection="1"/>
    <xf numFmtId="10" fontId="0" fillId="5" borderId="0" xfId="0" applyNumberFormat="1" applyFill="1" applyProtection="1"/>
    <xf numFmtId="0" fontId="0" fillId="5" borderId="0" xfId="0" applyFill="1" applyBorder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7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/>
    </xf>
    <xf numFmtId="1" fontId="17" fillId="5" borderId="0" xfId="0" applyNumberFormat="1" applyFont="1" applyFill="1" applyAlignment="1" applyProtection="1">
      <alignment horizontal="center"/>
    </xf>
    <xf numFmtId="2" fontId="17" fillId="5" borderId="0" xfId="0" applyNumberFormat="1" applyFont="1" applyFill="1" applyAlignment="1" applyProtection="1">
      <alignment horizontal="center"/>
    </xf>
    <xf numFmtId="2" fontId="17" fillId="5" borderId="0" xfId="0" applyNumberFormat="1" applyFont="1" applyFill="1" applyBorder="1" applyAlignment="1" applyProtection="1">
      <alignment horizontal="center"/>
    </xf>
    <xf numFmtId="9" fontId="20" fillId="5" borderId="0" xfId="0" applyNumberFormat="1" applyFont="1" applyFill="1" applyProtection="1"/>
    <xf numFmtId="1" fontId="17" fillId="5" borderId="0" xfId="0" applyNumberFormat="1" applyFont="1" applyFill="1" applyProtection="1"/>
    <xf numFmtId="0" fontId="17" fillId="0" borderId="1" xfId="0" applyFont="1" applyFill="1" applyBorder="1" applyAlignment="1" applyProtection="1">
      <alignment horizontal="center" vertical="center"/>
      <protection locked="0"/>
    </xf>
    <xf numFmtId="165" fontId="0" fillId="5" borderId="0" xfId="1" applyNumberFormat="1" applyFont="1" applyFill="1" applyProtection="1"/>
    <xf numFmtId="2" fontId="0" fillId="5" borderId="0" xfId="0" applyNumberFormat="1" applyFill="1" applyProtection="1"/>
    <xf numFmtId="165" fontId="0" fillId="5" borderId="0" xfId="0" applyNumberFormat="1" applyFill="1" applyProtection="1"/>
    <xf numFmtId="165" fontId="0" fillId="5" borderId="0" xfId="1" applyNumberFormat="1" applyFont="1" applyFill="1" applyAlignment="1" applyProtection="1">
      <alignment horizontal="center"/>
    </xf>
    <xf numFmtId="2" fontId="0" fillId="5" borderId="0" xfId="0" applyNumberFormat="1" applyFill="1" applyAlignment="1" applyProtection="1">
      <alignment horizontal="center"/>
    </xf>
    <xf numFmtId="1" fontId="0" fillId="5" borderId="0" xfId="0" applyNumberFormat="1" applyFill="1" applyAlignment="1" applyProtection="1">
      <alignment horizontal="center"/>
    </xf>
    <xf numFmtId="9" fontId="17" fillId="5" borderId="0" xfId="1" applyFont="1" applyFill="1" applyAlignment="1" applyProtection="1">
      <alignment horizontal="center"/>
    </xf>
    <xf numFmtId="168" fontId="0" fillId="5" borderId="0" xfId="0" applyNumberFormat="1" applyFill="1" applyProtection="1"/>
    <xf numFmtId="0" fontId="35" fillId="6" borderId="1" xfId="0" applyFont="1" applyFill="1" applyBorder="1" applyProtection="1"/>
    <xf numFmtId="168" fontId="2" fillId="6" borderId="1" xfId="0" applyNumberFormat="1" applyFont="1" applyFill="1" applyBorder="1" applyProtection="1"/>
    <xf numFmtId="0" fontId="17" fillId="5" borderId="0" xfId="0" applyFont="1" applyFill="1" applyBorder="1" applyProtection="1"/>
    <xf numFmtId="168" fontId="0" fillId="5" borderId="0" xfId="0" applyNumberFormat="1" applyFill="1" applyBorder="1" applyProtection="1"/>
    <xf numFmtId="168" fontId="0" fillId="5" borderId="1" xfId="0" applyNumberFormat="1" applyFill="1" applyBorder="1" applyProtection="1"/>
    <xf numFmtId="0" fontId="0" fillId="0" borderId="0" xfId="0" applyBorder="1" applyProtection="1"/>
    <xf numFmtId="9" fontId="2" fillId="6" borderId="1" xfId="1" applyFont="1" applyFill="1" applyBorder="1" applyAlignment="1" applyProtection="1">
      <alignment horizontal="center"/>
    </xf>
    <xf numFmtId="9" fontId="0" fillId="5" borderId="0" xfId="1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vertical="center"/>
    </xf>
    <xf numFmtId="9" fontId="0" fillId="0" borderId="0" xfId="1" applyFont="1" applyFill="1" applyBorder="1" applyAlignment="1" applyProtection="1">
      <alignment horizontal="center"/>
    </xf>
    <xf numFmtId="168" fontId="0" fillId="0" borderId="0" xfId="0" applyNumberFormat="1" applyProtection="1"/>
    <xf numFmtId="0" fontId="17" fillId="5" borderId="3" xfId="0" applyFont="1" applyFill="1" applyBorder="1" applyProtection="1"/>
    <xf numFmtId="0" fontId="0" fillId="5" borderId="3" xfId="0" applyFill="1" applyBorder="1" applyProtection="1"/>
    <xf numFmtId="168" fontId="0" fillId="5" borderId="3" xfId="0" applyNumberFormat="1" applyFill="1" applyBorder="1" applyProtection="1"/>
    <xf numFmtId="0" fontId="17" fillId="5" borderId="1" xfId="0" applyFont="1" applyFill="1" applyBorder="1" applyProtection="1"/>
    <xf numFmtId="0" fontId="27" fillId="5" borderId="0" xfId="0" applyFont="1" applyFill="1" applyProtection="1"/>
    <xf numFmtId="0" fontId="21" fillId="5" borderId="3" xfId="0" applyFont="1" applyFill="1" applyBorder="1" applyProtection="1"/>
    <xf numFmtId="0" fontId="21" fillId="5" borderId="0" xfId="0" applyFont="1" applyFill="1" applyBorder="1" applyProtection="1"/>
    <xf numFmtId="0" fontId="0" fillId="5" borderId="0" xfId="0" applyFont="1" applyFill="1" applyProtection="1"/>
    <xf numFmtId="0" fontId="0" fillId="5" borderId="0" xfId="0" applyFont="1" applyFill="1" applyAlignment="1" applyProtection="1">
      <alignment wrapText="1"/>
    </xf>
    <xf numFmtId="0" fontId="21" fillId="5" borderId="1" xfId="0" applyFont="1" applyFill="1" applyBorder="1" applyProtection="1"/>
    <xf numFmtId="0" fontId="0" fillId="5" borderId="0" xfId="0" applyFill="1" applyAlignment="1" applyProtection="1">
      <alignment wrapText="1"/>
    </xf>
    <xf numFmtId="0" fontId="2" fillId="6" borderId="1" xfId="0" applyFont="1" applyFill="1" applyBorder="1" applyAlignment="1" applyProtection="1">
      <alignment wrapText="1"/>
    </xf>
    <xf numFmtId="168" fontId="0" fillId="0" borderId="0" xfId="0" applyNumberFormat="1" applyBorder="1" applyProtection="1"/>
    <xf numFmtId="0" fontId="0" fillId="5" borderId="0" xfId="0" applyFill="1" applyBorder="1" applyAlignment="1" applyProtection="1">
      <alignment wrapText="1"/>
    </xf>
    <xf numFmtId="0" fontId="30" fillId="5" borderId="0" xfId="0" applyFont="1" applyFill="1" applyProtection="1"/>
    <xf numFmtId="0" fontId="31" fillId="5" borderId="0" xfId="0" applyFont="1" applyFill="1" applyProtection="1"/>
    <xf numFmtId="10" fontId="31" fillId="5" borderId="0" xfId="0" applyNumberFormat="1" applyFont="1" applyFill="1" applyProtection="1"/>
    <xf numFmtId="0" fontId="0" fillId="5" borderId="0" xfId="0" applyNumberFormat="1" applyFill="1" applyBorder="1" applyAlignment="1" applyProtection="1">
      <alignment horizontal="center" vertical="center"/>
    </xf>
    <xf numFmtId="168" fontId="33" fillId="5" borderId="0" xfId="0" applyNumberFormat="1" applyFont="1" applyFill="1" applyBorder="1" applyProtection="1"/>
    <xf numFmtId="3" fontId="33" fillId="5" borderId="0" xfId="0" applyNumberFormat="1" applyFont="1" applyFill="1" applyBorder="1" applyProtection="1"/>
    <xf numFmtId="0" fontId="33" fillId="5" borderId="0" xfId="0" applyFont="1" applyFill="1" applyBorder="1" applyProtection="1"/>
    <xf numFmtId="169" fontId="33" fillId="5" borderId="0" xfId="0" applyNumberFormat="1" applyFont="1" applyFill="1" applyBorder="1" applyProtection="1"/>
    <xf numFmtId="169" fontId="0" fillId="5" borderId="0" xfId="0" applyNumberFormat="1" applyFill="1" applyBorder="1" applyProtection="1"/>
    <xf numFmtId="0" fontId="0" fillId="5" borderId="1" xfId="0" applyFill="1" applyBorder="1" applyProtection="1"/>
    <xf numFmtId="9" fontId="17" fillId="5" borderId="1" xfId="0" applyNumberFormat="1" applyFont="1" applyFill="1" applyBorder="1" applyProtection="1"/>
    <xf numFmtId="9" fontId="0" fillId="5" borderId="0" xfId="0" applyNumberFormat="1" applyFill="1" applyBorder="1" applyProtection="1"/>
    <xf numFmtId="169" fontId="4" fillId="5" borderId="0" xfId="0" applyNumberFormat="1" applyFont="1" applyFill="1" applyBorder="1" applyProtection="1"/>
    <xf numFmtId="0" fontId="0" fillId="0" borderId="0" xfId="0" applyFill="1" applyProtection="1"/>
    <xf numFmtId="0" fontId="17" fillId="0" borderId="0" xfId="0" applyFont="1" applyProtection="1"/>
    <xf numFmtId="168" fontId="17" fillId="5" borderId="0" xfId="0" applyNumberFormat="1" applyFont="1" applyFill="1" applyAlignment="1" applyProtection="1">
      <alignment horizontal="center"/>
    </xf>
    <xf numFmtId="9" fontId="0" fillId="5" borderId="0" xfId="0" applyNumberFormat="1" applyFill="1" applyProtection="1"/>
    <xf numFmtId="168" fontId="17" fillId="5" borderId="0" xfId="0" applyNumberFormat="1" applyFont="1" applyFill="1" applyProtection="1"/>
    <xf numFmtId="168" fontId="17" fillId="5" borderId="1" xfId="0" applyNumberFormat="1" applyFont="1" applyFill="1" applyBorder="1" applyProtection="1"/>
    <xf numFmtId="2" fontId="17" fillId="5" borderId="0" xfId="0" applyNumberFormat="1" applyFont="1" applyFill="1" applyBorder="1" applyProtection="1"/>
    <xf numFmtId="2" fontId="17" fillId="5" borderId="1" xfId="0" applyNumberFormat="1" applyFont="1" applyFill="1" applyBorder="1" applyProtection="1"/>
    <xf numFmtId="10" fontId="31" fillId="5" borderId="0" xfId="0" applyNumberFormat="1" applyFont="1" applyFill="1" applyProtection="1">
      <protection locked="0"/>
    </xf>
    <xf numFmtId="0" fontId="39" fillId="5" borderId="1" xfId="0" applyFont="1" applyFill="1" applyBorder="1" applyProtection="1"/>
    <xf numFmtId="9" fontId="39" fillId="5" borderId="1" xfId="0" applyNumberFormat="1" applyFont="1" applyFill="1" applyBorder="1" applyProtection="1"/>
    <xf numFmtId="0" fontId="18" fillId="5" borderId="0" xfId="0" applyFont="1" applyFill="1" applyAlignment="1">
      <alignment vertical="center"/>
    </xf>
    <xf numFmtId="0" fontId="4" fillId="7" borderId="10" xfId="0" applyFont="1" applyFill="1" applyBorder="1" applyProtection="1">
      <protection locked="0"/>
    </xf>
    <xf numFmtId="0" fontId="4" fillId="7" borderId="10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Protection="1"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4" fillId="7" borderId="10" xfId="0" applyFont="1" applyFill="1" applyBorder="1" applyAlignment="1" applyProtection="1">
      <alignment vertical="center"/>
      <protection locked="0"/>
    </xf>
    <xf numFmtId="0" fontId="4" fillId="7" borderId="2" xfId="0" applyFont="1" applyFill="1" applyBorder="1" applyProtection="1">
      <protection locked="0"/>
    </xf>
    <xf numFmtId="0" fontId="4" fillId="7" borderId="1" xfId="0" applyFont="1" applyFill="1" applyBorder="1" applyAlignment="1" applyProtection="1">
      <alignment horizontal="right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1" fillId="7" borderId="10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Protection="1">
      <protection locked="0"/>
    </xf>
    <xf numFmtId="0" fontId="4" fillId="7" borderId="11" xfId="0" applyFont="1" applyFill="1" applyBorder="1" applyProtection="1">
      <protection locked="0"/>
    </xf>
    <xf numFmtId="0" fontId="42" fillId="7" borderId="10" xfId="0" applyFont="1" applyFill="1" applyBorder="1" applyProtection="1">
      <protection locked="0"/>
    </xf>
    <xf numFmtId="167" fontId="4" fillId="5" borderId="0" xfId="0" applyNumberFormat="1" applyFont="1" applyFill="1" applyAlignment="1" applyProtection="1">
      <alignment horizontal="center" vertical="center"/>
    </xf>
    <xf numFmtId="167" fontId="0" fillId="5" borderId="0" xfId="0" applyNumberFormat="1" applyFill="1" applyBorder="1" applyAlignment="1" applyProtection="1">
      <alignment horizontal="center" vertical="center"/>
    </xf>
    <xf numFmtId="1" fontId="0" fillId="5" borderId="0" xfId="0" applyNumberFormat="1" applyFill="1" applyProtection="1"/>
    <xf numFmtId="10" fontId="0" fillId="5" borderId="1" xfId="1" applyNumberFormat="1" applyFont="1" applyFill="1" applyBorder="1" applyAlignment="1" applyProtection="1">
      <alignment horizontal="center" vertical="center"/>
    </xf>
    <xf numFmtId="0" fontId="17" fillId="7" borderId="2" xfId="3" applyNumberFormat="1" applyFont="1" applyFill="1" applyBorder="1" applyAlignment="1" applyProtection="1">
      <alignment horizontal="center"/>
      <protection locked="0"/>
    </xf>
    <xf numFmtId="0" fontId="43" fillId="5" borderId="0" xfId="0" applyFont="1" applyFill="1"/>
    <xf numFmtId="1" fontId="20" fillId="5" borderId="0" xfId="0" applyNumberFormat="1" applyFont="1" applyFill="1" applyProtection="1"/>
    <xf numFmtId="1" fontId="0" fillId="5" borderId="0" xfId="0" applyNumberFormat="1" applyFont="1" applyFill="1" applyProtection="1"/>
    <xf numFmtId="0" fontId="20" fillId="5" borderId="0" xfId="0" applyFont="1" applyFill="1" applyBorder="1" applyProtection="1"/>
    <xf numFmtId="1" fontId="20" fillId="5" borderId="0" xfId="0" applyNumberFormat="1" applyFont="1" applyFill="1" applyBorder="1" applyProtection="1"/>
    <xf numFmtId="0" fontId="14" fillId="5" borderId="0" xfId="0" applyFont="1" applyFill="1" applyBorder="1"/>
    <xf numFmtId="0" fontId="14" fillId="5" borderId="0" xfId="0" applyFont="1" applyFill="1" applyBorder="1" applyAlignment="1"/>
    <xf numFmtId="0" fontId="14" fillId="5" borderId="0" xfId="0" applyFont="1" applyFill="1"/>
    <xf numFmtId="0" fontId="44" fillId="5" borderId="0" xfId="0" applyFont="1" applyFill="1"/>
    <xf numFmtId="0" fontId="45" fillId="5" borderId="0" xfId="0" applyFont="1" applyFill="1" applyBorder="1" applyAlignment="1">
      <alignment vertical="center" wrapText="1"/>
    </xf>
    <xf numFmtId="0" fontId="45" fillId="5" borderId="0" xfId="0" applyFont="1" applyFill="1" applyBorder="1" applyAlignment="1">
      <alignment vertical="center"/>
    </xf>
    <xf numFmtId="2" fontId="2" fillId="5" borderId="0" xfId="0" applyNumberFormat="1" applyFont="1" applyFill="1"/>
    <xf numFmtId="1" fontId="22" fillId="5" borderId="0" xfId="0" applyNumberFormat="1" applyFont="1" applyFill="1" applyProtection="1"/>
    <xf numFmtId="0" fontId="46" fillId="5" borderId="0" xfId="0" applyFont="1" applyFill="1"/>
    <xf numFmtId="2" fontId="14" fillId="8" borderId="4" xfId="0" applyNumberFormat="1" applyFont="1" applyFill="1" applyBorder="1" applyAlignment="1" applyProtection="1">
      <alignment horizontal="center" vertical="center"/>
    </xf>
    <xf numFmtId="9" fontId="14" fillId="8" borderId="4" xfId="1" applyFont="1" applyFill="1" applyBorder="1" applyAlignment="1" applyProtection="1">
      <alignment horizontal="center" vertical="center"/>
    </xf>
    <xf numFmtId="0" fontId="4" fillId="8" borderId="8" xfId="0" applyFont="1" applyFill="1" applyBorder="1" applyAlignment="1" applyProtection="1">
      <alignment horizontal="right" vertical="center"/>
    </xf>
    <xf numFmtId="0" fontId="4" fillId="8" borderId="8" xfId="0" applyFont="1" applyFill="1" applyBorder="1" applyAlignment="1" applyProtection="1">
      <alignment horizontal="left" vertical="center"/>
    </xf>
    <xf numFmtId="9" fontId="4" fillId="8" borderId="9" xfId="1" applyFont="1" applyFill="1" applyBorder="1" applyAlignment="1" applyProtection="1">
      <alignment horizontal="center" vertical="center"/>
    </xf>
    <xf numFmtId="9" fontId="14" fillId="8" borderId="6" xfId="1" applyFont="1" applyFill="1" applyBorder="1" applyAlignment="1" applyProtection="1">
      <alignment horizontal="center" vertical="center"/>
    </xf>
    <xf numFmtId="0" fontId="4" fillId="8" borderId="5" xfId="0" applyFont="1" applyFill="1" applyBorder="1" applyProtection="1"/>
    <xf numFmtId="0" fontId="14" fillId="8" borderId="4" xfId="0" applyFont="1" applyFill="1" applyBorder="1" applyAlignment="1" applyProtection="1">
      <alignment horizontal="center" vertical="center"/>
    </xf>
    <xf numFmtId="0" fontId="4" fillId="8" borderId="5" xfId="0" applyFont="1" applyFill="1" applyBorder="1" applyAlignment="1" applyProtection="1">
      <alignment horizontal="center" vertical="center"/>
    </xf>
    <xf numFmtId="0" fontId="4" fillId="8" borderId="6" xfId="0" applyFont="1" applyFill="1" applyBorder="1" applyAlignment="1" applyProtection="1">
      <alignment horizontal="center" vertical="center"/>
    </xf>
    <xf numFmtId="9" fontId="14" fillId="8" borderId="2" xfId="1" applyFont="1" applyFill="1" applyBorder="1" applyAlignment="1" applyProtection="1">
      <alignment horizontal="center" vertical="center"/>
    </xf>
    <xf numFmtId="0" fontId="0" fillId="8" borderId="5" xfId="0" applyFill="1" applyBorder="1" applyProtection="1"/>
    <xf numFmtId="2" fontId="17" fillId="8" borderId="2" xfId="0" applyNumberFormat="1" applyFont="1" applyFill="1" applyBorder="1" applyAlignment="1" applyProtection="1">
      <alignment horizontal="center" vertical="center"/>
    </xf>
    <xf numFmtId="0" fontId="0" fillId="8" borderId="6" xfId="0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/>
      <protection locked="0"/>
    </xf>
    <xf numFmtId="0" fontId="32" fillId="8" borderId="3" xfId="0" applyFont="1" applyFill="1" applyBorder="1" applyProtection="1"/>
    <xf numFmtId="0" fontId="0" fillId="8" borderId="3" xfId="0" applyFill="1" applyBorder="1" applyProtection="1"/>
    <xf numFmtId="9" fontId="0" fillId="8" borderId="0" xfId="1" applyFont="1" applyFill="1" applyBorder="1" applyAlignment="1" applyProtection="1">
      <alignment horizontal="center"/>
    </xf>
    <xf numFmtId="0" fontId="14" fillId="8" borderId="0" xfId="0" applyFont="1" applyFill="1" applyProtection="1"/>
    <xf numFmtId="0" fontId="0" fillId="5" borderId="0" xfId="0" applyFill="1" applyBorder="1" applyAlignment="1" applyProtection="1">
      <alignment horizontal="center"/>
    </xf>
    <xf numFmtId="10" fontId="0" fillId="5" borderId="0" xfId="1" applyNumberFormat="1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2" fontId="17" fillId="5" borderId="0" xfId="0" applyNumberFormat="1" applyFont="1" applyFill="1" applyProtection="1"/>
    <xf numFmtId="2" fontId="47" fillId="5" borderId="0" xfId="0" applyNumberFormat="1" applyFont="1" applyFill="1" applyProtection="1"/>
    <xf numFmtId="0" fontId="47" fillId="5" borderId="0" xfId="0" applyFont="1" applyFill="1" applyProtection="1"/>
    <xf numFmtId="0" fontId="4" fillId="5" borderId="0" xfId="0" applyFont="1" applyFill="1" applyBorder="1" applyAlignment="1" applyProtection="1">
      <alignment horizontal="center" vertical="center"/>
    </xf>
    <xf numFmtId="0" fontId="49" fillId="5" borderId="0" xfId="0" applyFont="1" applyFill="1" applyAlignment="1" applyProtection="1">
      <alignment vertical="center" wrapText="1"/>
    </xf>
    <xf numFmtId="0" fontId="48" fillId="5" borderId="0" xfId="2" applyFont="1" applyFill="1" applyAlignment="1" applyProtection="1">
      <alignment horizontal="center" vertical="center"/>
    </xf>
    <xf numFmtId="0" fontId="48" fillId="5" borderId="0" xfId="2" applyFont="1" applyFill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/>
    </xf>
    <xf numFmtId="0" fontId="48" fillId="5" borderId="1" xfId="2" applyFont="1" applyFill="1" applyBorder="1" applyAlignment="1" applyProtection="1">
      <alignment horizontal="center" vertical="center"/>
    </xf>
    <xf numFmtId="0" fontId="48" fillId="5" borderId="1" xfId="2" applyFont="1" applyFill="1" applyBorder="1" applyAlignment="1" applyProtection="1">
      <alignment vertical="center"/>
    </xf>
    <xf numFmtId="0" fontId="48" fillId="5" borderId="0" xfId="2" applyFont="1" applyFill="1" applyBorder="1" applyAlignment="1" applyProtection="1">
      <alignment horizontal="center" vertical="center"/>
    </xf>
    <xf numFmtId="0" fontId="51" fillId="5" borderId="0" xfId="0" applyFont="1" applyFill="1"/>
    <xf numFmtId="0" fontId="0" fillId="8" borderId="0" xfId="0" applyFill="1" applyAlignment="1">
      <alignment horizontal="center" vertical="center"/>
    </xf>
    <xf numFmtId="0" fontId="0" fillId="8" borderId="0" xfId="0" applyFill="1"/>
    <xf numFmtId="0" fontId="0" fillId="9" borderId="0" xfId="0" applyNumberFormat="1" applyFill="1" applyAlignment="1">
      <alignment horizontal="center" vertical="center"/>
    </xf>
    <xf numFmtId="0" fontId="17" fillId="5" borderId="3" xfId="0" applyNumberFormat="1" applyFont="1" applyFill="1" applyBorder="1" applyProtection="1"/>
    <xf numFmtId="0" fontId="17" fillId="5" borderId="0" xfId="3" applyNumberFormat="1" applyFont="1" applyFill="1" applyBorder="1" applyAlignment="1" applyProtection="1">
      <alignment horizontal="center"/>
      <protection locked="0"/>
    </xf>
    <xf numFmtId="164" fontId="0" fillId="5" borderId="14" xfId="3" applyFont="1" applyFill="1" applyBorder="1" applyAlignment="1" applyProtection="1">
      <alignment horizontal="center" vertical="center"/>
    </xf>
    <xf numFmtId="164" fontId="0" fillId="5" borderId="1" xfId="3" applyFont="1" applyFill="1" applyBorder="1" applyAlignment="1" applyProtection="1">
      <alignment horizontal="center" vertical="center"/>
    </xf>
    <xf numFmtId="164" fontId="0" fillId="5" borderId="15" xfId="3" applyFont="1" applyFill="1" applyBorder="1" applyAlignment="1" applyProtection="1">
      <alignment horizontal="center" vertical="center"/>
    </xf>
    <xf numFmtId="168" fontId="17" fillId="5" borderId="12" xfId="0" applyNumberFormat="1" applyFont="1" applyFill="1" applyBorder="1" applyAlignment="1" applyProtection="1">
      <alignment horizontal="center" vertical="center"/>
    </xf>
    <xf numFmtId="168" fontId="17" fillId="5" borderId="3" xfId="0" applyNumberFormat="1" applyFont="1" applyFill="1" applyBorder="1" applyAlignment="1" applyProtection="1">
      <alignment horizontal="center" vertical="center"/>
    </xf>
    <xf numFmtId="168" fontId="17" fillId="5" borderId="13" xfId="0" applyNumberFormat="1" applyFont="1" applyFill="1" applyBorder="1" applyAlignment="1" applyProtection="1">
      <alignment horizontal="center" vertical="center"/>
    </xf>
    <xf numFmtId="168" fontId="0" fillId="7" borderId="1" xfId="0" applyNumberFormat="1" applyFill="1" applyBorder="1" applyProtection="1">
      <protection locked="0"/>
    </xf>
    <xf numFmtId="168" fontId="17" fillId="5" borderId="0" xfId="0" applyNumberFormat="1" applyFont="1" applyFill="1" applyProtection="1">
      <protection locked="0"/>
    </xf>
    <xf numFmtId="168" fontId="0" fillId="5" borderId="0" xfId="0" applyNumberFormat="1" applyFill="1" applyProtection="1">
      <protection locked="0"/>
    </xf>
    <xf numFmtId="0" fontId="0" fillId="7" borderId="2" xfId="0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57" fillId="5" borderId="0" xfId="0" applyFont="1" applyFill="1" applyProtection="1"/>
    <xf numFmtId="16" fontId="57" fillId="5" borderId="0" xfId="0" applyNumberFormat="1" applyFont="1" applyFill="1" applyProtection="1"/>
    <xf numFmtId="2" fontId="0" fillId="5" borderId="1" xfId="1" applyNumberFormat="1" applyFont="1" applyFill="1" applyBorder="1" applyProtection="1">
      <protection locked="0"/>
    </xf>
    <xf numFmtId="1" fontId="0" fillId="5" borderId="0" xfId="0" applyNumberFormat="1" applyFill="1" applyAlignment="1" applyProtection="1">
      <alignment horizontal="center" vertical="center"/>
    </xf>
    <xf numFmtId="2" fontId="0" fillId="5" borderId="1" xfId="0" applyNumberFormat="1" applyFill="1" applyBorder="1" applyProtection="1"/>
    <xf numFmtId="0" fontId="4" fillId="7" borderId="10" xfId="0" applyFont="1" applyFill="1" applyBorder="1" applyAlignment="1" applyProtection="1">
      <alignment horizontal="center" vertical="center"/>
    </xf>
    <xf numFmtId="3" fontId="33" fillId="0" borderId="0" xfId="0" applyNumberFormat="1" applyFont="1" applyFill="1" applyBorder="1" applyProtection="1"/>
    <xf numFmtId="164" fontId="17" fillId="5" borderId="0" xfId="3" applyFont="1" applyFill="1" applyAlignment="1" applyProtection="1">
      <alignment horizontal="center"/>
    </xf>
    <xf numFmtId="2" fontId="0" fillId="0" borderId="1" xfId="0" applyNumberFormat="1" applyBorder="1" applyProtection="1"/>
    <xf numFmtId="4" fontId="4" fillId="5" borderId="0" xfId="0" applyNumberFormat="1" applyFont="1" applyFill="1" applyBorder="1" applyProtection="1"/>
    <xf numFmtId="0" fontId="58" fillId="5" borderId="0" xfId="0" applyFont="1" applyFill="1" applyProtection="1"/>
    <xf numFmtId="9" fontId="0" fillId="0" borderId="0" xfId="0" applyNumberForma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7" fillId="5" borderId="0" xfId="0" applyFont="1" applyFill="1" applyAlignment="1" applyProtection="1">
      <alignment horizontal="center" vertical="center"/>
      <protection locked="0"/>
    </xf>
    <xf numFmtId="0" fontId="40" fillId="5" borderId="0" xfId="0" applyFont="1" applyFill="1" applyAlignment="1">
      <alignment horizontal="center" vertical="center"/>
    </xf>
    <xf numFmtId="0" fontId="14" fillId="0" borderId="0" xfId="0" applyFont="1"/>
    <xf numFmtId="0" fontId="52" fillId="5" borderId="0" xfId="0" applyFont="1" applyFill="1" applyBorder="1" applyAlignment="1">
      <alignment horizontal="center" vertical="top" wrapText="1"/>
    </xf>
    <xf numFmtId="0" fontId="52" fillId="5" borderId="0" xfId="0" applyFont="1" applyFill="1" applyBorder="1" applyAlignment="1">
      <alignment horizontal="center" vertical="top"/>
    </xf>
    <xf numFmtId="0" fontId="0" fillId="0" borderId="0" xfId="0"/>
    <xf numFmtId="0" fontId="48" fillId="5" borderId="1" xfId="2" applyFont="1" applyFill="1" applyBorder="1" applyAlignment="1" applyProtection="1">
      <alignment horizontal="left" vertical="center"/>
    </xf>
    <xf numFmtId="0" fontId="48" fillId="5" borderId="1" xfId="2" applyFont="1" applyFill="1" applyBorder="1" applyAlignment="1" applyProtection="1">
      <alignment horizontal="center" vertical="center"/>
    </xf>
    <xf numFmtId="0" fontId="49" fillId="5" borderId="0" xfId="0" applyFont="1" applyFill="1" applyAlignment="1" applyProtection="1">
      <alignment horizontal="center" vertical="center" wrapText="1"/>
    </xf>
    <xf numFmtId="0" fontId="14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7" fillId="5" borderId="0" xfId="0" applyFont="1" applyFill="1" applyAlignment="1" applyProtection="1">
      <alignment horizontal="center" vertical="center"/>
      <protection locked="0"/>
    </xf>
    <xf numFmtId="0" fontId="41" fillId="7" borderId="0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7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right"/>
    </xf>
    <xf numFmtId="0" fontId="0" fillId="5" borderId="0" xfId="0" applyFill="1" applyAlignment="1" applyProtection="1">
      <alignment horizontal="right" wrapText="1"/>
    </xf>
    <xf numFmtId="168" fontId="17" fillId="5" borderId="1" xfId="0" applyNumberFormat="1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17" fillId="5" borderId="0" xfId="0" applyFont="1" applyFill="1" applyBorder="1" applyAlignment="1" applyProtection="1">
      <alignment horizontal="left"/>
    </xf>
    <xf numFmtId="0" fontId="17" fillId="5" borderId="0" xfId="0" applyFont="1" applyFill="1" applyAlignment="1" applyProtection="1">
      <alignment horizontal="left"/>
    </xf>
    <xf numFmtId="0" fontId="54" fillId="8" borderId="3" xfId="0" applyFont="1" applyFill="1" applyBorder="1" applyAlignment="1">
      <alignment horizontal="center" vertical="center"/>
    </xf>
    <xf numFmtId="0" fontId="54" fillId="8" borderId="1" xfId="0" applyFont="1" applyFill="1" applyBorder="1" applyAlignment="1">
      <alignment horizontal="center" vertical="center"/>
    </xf>
    <xf numFmtId="0" fontId="53" fillId="6" borderId="1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7" fillId="5" borderId="0" xfId="0" applyFont="1" applyFill="1" applyAlignment="1">
      <alignment horizontal="right"/>
    </xf>
    <xf numFmtId="0" fontId="20" fillId="5" borderId="0" xfId="0" applyFont="1" applyFill="1" applyAlignment="1">
      <alignment horizontal="left"/>
    </xf>
    <xf numFmtId="0" fontId="0" fillId="0" borderId="0" xfId="0" applyAlignment="1">
      <alignment horizontal="left" wrapText="1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8">
    <dxf>
      <font>
        <color theme="9" tint="-0.499984740745262"/>
      </font>
    </dxf>
    <dxf>
      <font>
        <color rgb="FF9C0006"/>
      </font>
    </dxf>
    <dxf>
      <font>
        <color theme="9" tint="-0.499984740745262"/>
      </font>
    </dxf>
    <dxf>
      <font>
        <color rgb="FF9C0006"/>
      </font>
    </dxf>
    <dxf>
      <font>
        <color theme="9" tint="-0.499984740745262"/>
      </font>
    </dxf>
    <dxf>
      <font>
        <color rgb="FF9C0006"/>
      </font>
    </dxf>
    <dxf>
      <font>
        <color theme="9" tint="-0.499984740745262"/>
      </font>
    </dxf>
    <dxf>
      <font>
        <color rgb="FF9C0006"/>
      </font>
    </dxf>
  </dxfs>
  <tableStyles count="0" defaultTableStyle="TableStyleMedium2" defaultPivotStyle="PivotStyleLight16"/>
  <colors>
    <mruColors>
      <color rgb="FFA0A400"/>
      <color rgb="FFDADE00"/>
      <color rgb="FF594D41"/>
      <color rgb="FF99CC00"/>
      <color rgb="FFE4EA00"/>
      <color rgb="FF9B8875"/>
      <color rgb="FF2E28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594D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5E-44AB-A01D-20FD9D89AB5F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5E-44AB-A01D-20FD9D89AB5F}"/>
              </c:ext>
            </c:extLst>
          </c:dPt>
          <c:dLbls>
            <c:dLbl>
              <c:idx val="0"/>
              <c:layout>
                <c:manualLayout>
                  <c:x val="0.17187499999999992"/>
                  <c:y val="9.2915180877324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5E-44AB-A01D-20FD9D89AB5F}"/>
                </c:ext>
              </c:extLst>
            </c:dLbl>
            <c:dLbl>
              <c:idx val="1"/>
              <c:layout>
                <c:manualLayout>
                  <c:x val="-0.15104166666666671"/>
                  <c:y val="-0.120789735140521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3-7B5E-44AB-A01D-20FD9D89AB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'Analiza polj. gospodarstva'!$C$75:$C$76</c:f>
              <c:strCache>
                <c:ptCount val="2"/>
                <c:pt idx="0">
                  <c:v>stajnjak</c:v>
                </c:pt>
                <c:pt idx="1">
                  <c:v>energetski usjevi</c:v>
                </c:pt>
              </c:strCache>
            </c:strRef>
          </c:cat>
          <c:val>
            <c:numRef>
              <c:f>'Analiza polj. gospodarstva'!$E$75:$E$76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5E-44AB-A01D-20FD9D89A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58025498151932"/>
          <c:y val="6.2499725644150933E-2"/>
          <c:w val="0.33885616644668143"/>
          <c:h val="0.9028751029748953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594D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AE-44A5-8267-2731B71D133A}"/>
              </c:ext>
            </c:extLst>
          </c:dPt>
          <c:dPt>
            <c:idx val="1"/>
            <c:bubble3D val="0"/>
            <c:spPr>
              <a:solidFill>
                <a:srgbClr val="A0A4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AE-44A5-8267-2731B71D133A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EAE-44A5-8267-2731B71D133A}"/>
              </c:ext>
            </c:extLst>
          </c:dPt>
          <c:val>
            <c:numRef>
              <c:f>'Sažetak projekta'!$D$22:$D$24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AE-44A5-8267-2731B71D1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58025498151932"/>
          <c:y val="6.2499725644150933E-2"/>
          <c:w val="0.33885616644668143"/>
          <c:h val="0.9028751029748953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CC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6B-49AA-BFE4-410FD2E2C0B9}"/>
              </c:ext>
            </c:extLst>
          </c:dPt>
          <c:dPt>
            <c:idx val="1"/>
            <c:bubble3D val="0"/>
            <c:spPr>
              <a:solidFill>
                <a:srgbClr val="594D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6B-49AA-BFE4-410FD2E2C0B9}"/>
              </c:ext>
            </c:extLst>
          </c:dPt>
          <c:dLbls>
            <c:dLbl>
              <c:idx val="0"/>
              <c:layout>
                <c:manualLayout>
                  <c:x val="0.18257341995738235"/>
                  <c:y val="-0.1858303617546483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1-096B-49AA-BFE4-410FD2E2C0B9}"/>
                </c:ext>
              </c:extLst>
            </c:dLbl>
            <c:dLbl>
              <c:idx val="1"/>
              <c:layout>
                <c:manualLayout>
                  <c:x val="-0.16879429392286294"/>
                  <c:y val="0.157955807491451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3-096B-49AA-BFE4-410FD2E2C0B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'Sažetak projekta'!$P$36:$P$37</c:f>
              <c:strCache>
                <c:ptCount val="2"/>
                <c:pt idx="0">
                  <c:v>bioplin</c:v>
                </c:pt>
                <c:pt idx="1">
                  <c:v>metan</c:v>
                </c:pt>
              </c:strCache>
            </c:strRef>
          </c:cat>
          <c:val>
            <c:numRef>
              <c:f>'Sažetak projekta'!$Q$36:$Q$37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6B-49AA-BFE4-410FD2E2C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png"/><Relationship Id="rId1" Type="http://schemas.openxmlformats.org/officeDocument/2006/relationships/hyperlink" Target="#'I Z B O R N I K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Financijski kalkulator'!A1"/><Relationship Id="rId3" Type="http://schemas.openxmlformats.org/officeDocument/2006/relationships/hyperlink" Target="#'I Z B O R N I K'!A1"/><Relationship Id="rId7" Type="http://schemas.openxmlformats.org/officeDocument/2006/relationships/image" Target="../media/image6.png"/><Relationship Id="rId12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http://www.inemad.eu/hr/" TargetMode="External"/><Relationship Id="rId6" Type="http://schemas.openxmlformats.org/officeDocument/2006/relationships/hyperlink" Target="#'AD analiza'!A1"/><Relationship Id="rId11" Type="http://schemas.openxmlformats.org/officeDocument/2006/relationships/hyperlink" Target="#'Sa&#382;etak projekta'!A1"/><Relationship Id="rId5" Type="http://schemas.openxmlformats.org/officeDocument/2006/relationships/image" Target="../media/image5.png"/><Relationship Id="rId10" Type="http://schemas.openxmlformats.org/officeDocument/2006/relationships/image" Target="../media/image8.png"/><Relationship Id="rId4" Type="http://schemas.openxmlformats.org/officeDocument/2006/relationships/hyperlink" Target="#'Analiza polj. gospodarstva'!A1"/><Relationship Id="rId9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Analiza polj. gospodarstva'!A1"/><Relationship Id="rId13" Type="http://schemas.openxmlformats.org/officeDocument/2006/relationships/image" Target="../media/image7.png"/><Relationship Id="rId3" Type="http://schemas.openxmlformats.org/officeDocument/2006/relationships/image" Target="../media/image4.png"/><Relationship Id="rId7" Type="http://schemas.openxmlformats.org/officeDocument/2006/relationships/image" Target="../media/image6.png"/><Relationship Id="rId12" Type="http://schemas.openxmlformats.org/officeDocument/2006/relationships/hyperlink" Target="#'Data validation_CHP engines'!A1"/><Relationship Id="rId2" Type="http://schemas.openxmlformats.org/officeDocument/2006/relationships/hyperlink" Target="#'I Z B O R N I K'!A1"/><Relationship Id="rId16" Type="http://schemas.openxmlformats.org/officeDocument/2006/relationships/image" Target="../media/image9.png"/><Relationship Id="rId1" Type="http://schemas.openxmlformats.org/officeDocument/2006/relationships/chart" Target="../charts/chart1.xml"/><Relationship Id="rId6" Type="http://schemas.openxmlformats.org/officeDocument/2006/relationships/image" Target="../media/image11.png"/><Relationship Id="rId11" Type="http://schemas.openxmlformats.org/officeDocument/2006/relationships/hyperlink" Target="#'Sa&#382;etak projekta'!A1"/><Relationship Id="rId5" Type="http://schemas.openxmlformats.org/officeDocument/2006/relationships/image" Target="../media/image10.png"/><Relationship Id="rId15" Type="http://schemas.openxmlformats.org/officeDocument/2006/relationships/image" Target="../media/image8.png"/><Relationship Id="rId10" Type="http://schemas.openxmlformats.org/officeDocument/2006/relationships/hyperlink" Target="#'Financijski kalkulator'!A1"/><Relationship Id="rId4" Type="http://schemas.openxmlformats.org/officeDocument/2006/relationships/image" Target="../media/image5.png"/><Relationship Id="rId9" Type="http://schemas.openxmlformats.org/officeDocument/2006/relationships/hyperlink" Target="#'AD analiza'!A1"/><Relationship Id="rId14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13" Type="http://schemas.openxmlformats.org/officeDocument/2006/relationships/hyperlink" Target="#'Financijski kalkulator'!A1"/><Relationship Id="rId3" Type="http://schemas.openxmlformats.org/officeDocument/2006/relationships/image" Target="../media/image6.png"/><Relationship Id="rId7" Type="http://schemas.openxmlformats.org/officeDocument/2006/relationships/image" Target="../media/image14.png"/><Relationship Id="rId12" Type="http://schemas.openxmlformats.org/officeDocument/2006/relationships/hyperlink" Target="#'AD analiza'!A1"/><Relationship Id="rId17" Type="http://schemas.openxmlformats.org/officeDocument/2006/relationships/hyperlink" Target="#'Sa&#382;etak projekta'!A1"/><Relationship Id="rId2" Type="http://schemas.openxmlformats.org/officeDocument/2006/relationships/image" Target="../media/image4.png"/><Relationship Id="rId16" Type="http://schemas.openxmlformats.org/officeDocument/2006/relationships/image" Target="../media/image8.png"/><Relationship Id="rId1" Type="http://schemas.openxmlformats.org/officeDocument/2006/relationships/hyperlink" Target="#'I Z B O R N I K'!A1"/><Relationship Id="rId6" Type="http://schemas.openxmlformats.org/officeDocument/2006/relationships/image" Target="../media/image9.png"/><Relationship Id="rId11" Type="http://schemas.openxmlformats.org/officeDocument/2006/relationships/image" Target="../media/image5.png"/><Relationship Id="rId5" Type="http://schemas.openxmlformats.org/officeDocument/2006/relationships/image" Target="../media/image13.png"/><Relationship Id="rId15" Type="http://schemas.openxmlformats.org/officeDocument/2006/relationships/hyperlink" Target="#'Data validation_CHP engines'!A1"/><Relationship Id="rId10" Type="http://schemas.openxmlformats.org/officeDocument/2006/relationships/hyperlink" Target="#'Analiza polj. gospodarstva'!A1"/><Relationship Id="rId4" Type="http://schemas.openxmlformats.org/officeDocument/2006/relationships/image" Target="../media/image12.png"/><Relationship Id="rId9" Type="http://schemas.openxmlformats.org/officeDocument/2006/relationships/image" Target="../media/image16.png"/><Relationship Id="rId14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Analiza polj. gospodarstva'!A1"/><Relationship Id="rId13" Type="http://schemas.openxmlformats.org/officeDocument/2006/relationships/hyperlink" Target="#'Data validation_CHP engines'!A1"/><Relationship Id="rId3" Type="http://schemas.openxmlformats.org/officeDocument/2006/relationships/image" Target="../media/image17.png"/><Relationship Id="rId7" Type="http://schemas.openxmlformats.org/officeDocument/2006/relationships/image" Target="../media/image19.png"/><Relationship Id="rId12" Type="http://schemas.openxmlformats.org/officeDocument/2006/relationships/hyperlink" Target="#'Financijski kalkulator'!A1"/><Relationship Id="rId2" Type="http://schemas.openxmlformats.org/officeDocument/2006/relationships/image" Target="../media/image4.png"/><Relationship Id="rId16" Type="http://schemas.openxmlformats.org/officeDocument/2006/relationships/image" Target="../media/image9.png"/><Relationship Id="rId1" Type="http://schemas.openxmlformats.org/officeDocument/2006/relationships/hyperlink" Target="#'I Z B O R N I K'!A1"/><Relationship Id="rId6" Type="http://schemas.openxmlformats.org/officeDocument/2006/relationships/image" Target="../media/image18.png"/><Relationship Id="rId11" Type="http://schemas.openxmlformats.org/officeDocument/2006/relationships/image" Target="../media/image6.png"/><Relationship Id="rId5" Type="http://schemas.openxmlformats.org/officeDocument/2006/relationships/image" Target="../media/image8.png"/><Relationship Id="rId15" Type="http://schemas.openxmlformats.org/officeDocument/2006/relationships/hyperlink" Target="#'Sa&#382;etak projekta'!A1"/><Relationship Id="rId10" Type="http://schemas.openxmlformats.org/officeDocument/2006/relationships/hyperlink" Target="#'AD analiza'!A1"/><Relationship Id="rId4" Type="http://schemas.openxmlformats.org/officeDocument/2006/relationships/image" Target="../media/image7.png"/><Relationship Id="rId9" Type="http://schemas.openxmlformats.org/officeDocument/2006/relationships/image" Target="../media/image5.png"/><Relationship Id="rId14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hyperlink" Target="#'I Z B O R N I K'!A1"/><Relationship Id="rId7" Type="http://schemas.openxmlformats.org/officeDocument/2006/relationships/image" Target="../media/image13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12.png"/><Relationship Id="rId5" Type="http://schemas.openxmlformats.org/officeDocument/2006/relationships/image" Target="../media/image6.png"/><Relationship Id="rId4" Type="http://schemas.openxmlformats.org/officeDocument/2006/relationships/image" Target="../media/image4.png"/><Relationship Id="rId9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AD analiza'!A1"/><Relationship Id="rId2" Type="http://schemas.openxmlformats.org/officeDocument/2006/relationships/image" Target="../media/image4.png"/><Relationship Id="rId1" Type="http://schemas.openxmlformats.org/officeDocument/2006/relationships/hyperlink" Target="#'I Z B O R N I K'!A1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11</xdr:row>
      <xdr:rowOff>66675</xdr:rowOff>
    </xdr:from>
    <xdr:to>
      <xdr:col>17</xdr:col>
      <xdr:colOff>103532</xdr:colOff>
      <xdr:row>21</xdr:row>
      <xdr:rowOff>18818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43075" y="3495675"/>
          <a:ext cx="9942857" cy="1857143"/>
        </a:xfrm>
        <a:prstGeom prst="rect">
          <a:avLst/>
        </a:prstGeom>
      </xdr:spPr>
    </xdr:pic>
    <xdr:clientData/>
  </xdr:twoCellAnchor>
  <xdr:twoCellAnchor editAs="oneCell">
    <xdr:from>
      <xdr:col>17</xdr:col>
      <xdr:colOff>219076</xdr:colOff>
      <xdr:row>11</xdr:row>
      <xdr:rowOff>152400</xdr:rowOff>
    </xdr:from>
    <xdr:to>
      <xdr:col>18</xdr:col>
      <xdr:colOff>387924</xdr:colOff>
      <xdr:row>18</xdr:row>
      <xdr:rowOff>28575</xdr:rowOff>
    </xdr:to>
    <xdr:pic>
      <xdr:nvPicPr>
        <xdr:cNvPr id="3" name="Picture 2" descr="http://www.smz.hr/site/images/grb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6" y="2247900"/>
          <a:ext cx="778448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590550</xdr:colOff>
      <xdr:row>12</xdr:row>
      <xdr:rowOff>76200</xdr:rowOff>
    </xdr:from>
    <xdr:to>
      <xdr:col>21</xdr:col>
      <xdr:colOff>596219</xdr:colOff>
      <xdr:row>18</xdr:row>
      <xdr:rowOff>85725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782550" y="2362200"/>
          <a:ext cx="1834469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9</xdr:row>
      <xdr:rowOff>38100</xdr:rowOff>
    </xdr:from>
    <xdr:to>
      <xdr:col>6</xdr:col>
      <xdr:colOff>380768</xdr:colOff>
      <xdr:row>17</xdr:row>
      <xdr:rowOff>37867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9275" y="2562225"/>
          <a:ext cx="1857143" cy="1866667"/>
        </a:xfrm>
        <a:prstGeom prst="rect">
          <a:avLst/>
        </a:prstGeom>
      </xdr:spPr>
    </xdr:pic>
    <xdr:clientData/>
  </xdr:twoCellAnchor>
  <xdr:twoCellAnchor>
    <xdr:from>
      <xdr:col>11</xdr:col>
      <xdr:colOff>361950</xdr:colOff>
      <xdr:row>2</xdr:row>
      <xdr:rowOff>104778</xdr:rowOff>
    </xdr:from>
    <xdr:to>
      <xdr:col>16</xdr:col>
      <xdr:colOff>323850</xdr:colOff>
      <xdr:row>4</xdr:row>
      <xdr:rowOff>47628</xdr:rowOff>
    </xdr:to>
    <xdr:sp macro="" textlink="">
      <xdr:nvSpPr>
        <xdr:cNvPr id="15" name="Round Same Side Corner Rectangle 14">
          <a:hlinkClick xmlns:r="http://schemas.openxmlformats.org/officeDocument/2006/relationships" r:id="rId3"/>
        </xdr:cNvPr>
        <xdr:cNvSpPr/>
      </xdr:nvSpPr>
      <xdr:spPr>
        <a:xfrm rot="5400000">
          <a:off x="8034337" y="-690559"/>
          <a:ext cx="352425" cy="3009900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l"/>
          <a:r>
            <a:rPr lang="hr-HR" sz="1400" b="1"/>
            <a:t>Izbornik</a:t>
          </a:r>
        </a:p>
      </xdr:txBody>
    </xdr:sp>
    <xdr:clientData/>
  </xdr:twoCellAnchor>
  <xdr:twoCellAnchor editAs="oneCell">
    <xdr:from>
      <xdr:col>10</xdr:col>
      <xdr:colOff>567482</xdr:colOff>
      <xdr:row>6</xdr:row>
      <xdr:rowOff>66355</xdr:rowOff>
    </xdr:from>
    <xdr:to>
      <xdr:col>11</xdr:col>
      <xdr:colOff>323852</xdr:colOff>
      <xdr:row>8</xdr:row>
      <xdr:rowOff>46603</xdr:rowOff>
    </xdr:to>
    <xdr:pic>
      <xdr:nvPicPr>
        <xdr:cNvPr id="16" name="Picture 15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01532" y="1704655"/>
          <a:ext cx="365970" cy="36124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10</xdr:col>
      <xdr:colOff>571500</xdr:colOff>
      <xdr:row>10</xdr:row>
      <xdr:rowOff>65333</xdr:rowOff>
    </xdr:from>
    <xdr:to>
      <xdr:col>11</xdr:col>
      <xdr:colOff>323852</xdr:colOff>
      <xdr:row>11</xdr:row>
      <xdr:rowOff>235164</xdr:rowOff>
    </xdr:to>
    <xdr:pic>
      <xdr:nvPicPr>
        <xdr:cNvPr id="17" name="Picture 16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305550" y="2779958"/>
          <a:ext cx="361952" cy="36033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10</xdr:col>
      <xdr:colOff>565677</xdr:colOff>
      <xdr:row>14</xdr:row>
      <xdr:rowOff>53869</xdr:rowOff>
    </xdr:from>
    <xdr:to>
      <xdr:col>11</xdr:col>
      <xdr:colOff>323852</xdr:colOff>
      <xdr:row>16</xdr:row>
      <xdr:rowOff>12807</xdr:rowOff>
    </xdr:to>
    <xdr:pic>
      <xdr:nvPicPr>
        <xdr:cNvPr id="18" name="Picture 17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299727" y="3844819"/>
          <a:ext cx="367775" cy="36851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10</xdr:col>
      <xdr:colOff>553751</xdr:colOff>
      <xdr:row>2</xdr:row>
      <xdr:rowOff>104775</xdr:rowOff>
    </xdr:from>
    <xdr:to>
      <xdr:col>11</xdr:col>
      <xdr:colOff>323852</xdr:colOff>
      <xdr:row>4</xdr:row>
      <xdr:rowOff>66675</xdr:rowOff>
    </xdr:to>
    <xdr:pic>
      <xdr:nvPicPr>
        <xdr:cNvPr id="19" name="Picture 1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287801" y="638175"/>
          <a:ext cx="379701" cy="3714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10</xdr:col>
      <xdr:colOff>564270</xdr:colOff>
      <xdr:row>19</xdr:row>
      <xdr:rowOff>117262</xdr:rowOff>
    </xdr:from>
    <xdr:to>
      <xdr:col>11</xdr:col>
      <xdr:colOff>323852</xdr:colOff>
      <xdr:row>21</xdr:row>
      <xdr:rowOff>76200</xdr:rowOff>
    </xdr:to>
    <xdr:pic>
      <xdr:nvPicPr>
        <xdr:cNvPr id="20" name="Picture 19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298320" y="4917862"/>
          <a:ext cx="369182" cy="36851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11</xdr:col>
      <xdr:colOff>361950</xdr:colOff>
      <xdr:row>6</xdr:row>
      <xdr:rowOff>69059</xdr:rowOff>
    </xdr:from>
    <xdr:to>
      <xdr:col>16</xdr:col>
      <xdr:colOff>323850</xdr:colOff>
      <xdr:row>8</xdr:row>
      <xdr:rowOff>40484</xdr:rowOff>
    </xdr:to>
    <xdr:sp macro="" textlink="">
      <xdr:nvSpPr>
        <xdr:cNvPr id="21" name="Round Same Side Corner Rectangle 20">
          <a:hlinkClick xmlns:r="http://schemas.openxmlformats.org/officeDocument/2006/relationships" r:id="rId4"/>
        </xdr:cNvPr>
        <xdr:cNvSpPr/>
      </xdr:nvSpPr>
      <xdr:spPr>
        <a:xfrm rot="5400000">
          <a:off x="8034337" y="378622"/>
          <a:ext cx="352425" cy="3009900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l"/>
          <a:r>
            <a:rPr lang="hr-HR" sz="1400" b="1"/>
            <a:t>Analiza poljoprivrednih resursa</a:t>
          </a:r>
        </a:p>
      </xdr:txBody>
    </xdr:sp>
    <xdr:clientData/>
  </xdr:twoCellAnchor>
  <xdr:twoCellAnchor>
    <xdr:from>
      <xdr:col>11</xdr:col>
      <xdr:colOff>361950</xdr:colOff>
      <xdr:row>10</xdr:row>
      <xdr:rowOff>61915</xdr:rowOff>
    </xdr:from>
    <xdr:to>
      <xdr:col>16</xdr:col>
      <xdr:colOff>323850</xdr:colOff>
      <xdr:row>11</xdr:row>
      <xdr:rowOff>223840</xdr:rowOff>
    </xdr:to>
    <xdr:sp macro="" textlink="">
      <xdr:nvSpPr>
        <xdr:cNvPr id="22" name="Round Same Side Corner Rectangle 21">
          <a:hlinkClick xmlns:r="http://schemas.openxmlformats.org/officeDocument/2006/relationships" r:id="rId6"/>
        </xdr:cNvPr>
        <xdr:cNvSpPr/>
      </xdr:nvSpPr>
      <xdr:spPr>
        <a:xfrm rot="5400000">
          <a:off x="8034337" y="1447803"/>
          <a:ext cx="352425" cy="3009900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l"/>
          <a:r>
            <a:rPr lang="hr-HR" sz="1400" b="1"/>
            <a:t>AD analiza</a:t>
          </a:r>
        </a:p>
      </xdr:txBody>
    </xdr:sp>
    <xdr:clientData/>
  </xdr:twoCellAnchor>
  <xdr:twoCellAnchor>
    <xdr:from>
      <xdr:col>11</xdr:col>
      <xdr:colOff>361950</xdr:colOff>
      <xdr:row>14</xdr:row>
      <xdr:rowOff>54771</xdr:rowOff>
    </xdr:from>
    <xdr:to>
      <xdr:col>16</xdr:col>
      <xdr:colOff>323850</xdr:colOff>
      <xdr:row>15</xdr:row>
      <xdr:rowOff>188121</xdr:rowOff>
    </xdr:to>
    <xdr:sp macro="" textlink="">
      <xdr:nvSpPr>
        <xdr:cNvPr id="23" name="Round Same Side Corner Rectangle 22">
          <a:hlinkClick xmlns:r="http://schemas.openxmlformats.org/officeDocument/2006/relationships" r:id="rId8"/>
        </xdr:cNvPr>
        <xdr:cNvSpPr/>
      </xdr:nvSpPr>
      <xdr:spPr>
        <a:xfrm rot="5400000">
          <a:off x="8034337" y="2516984"/>
          <a:ext cx="352425" cy="3009900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l"/>
          <a:r>
            <a:rPr lang="hr-HR" sz="1400" b="1"/>
            <a:t>Financijski kalkulator</a:t>
          </a:r>
        </a:p>
      </xdr:txBody>
    </xdr:sp>
    <xdr:clientData/>
  </xdr:twoCellAnchor>
  <xdr:twoCellAnchor>
    <xdr:from>
      <xdr:col>11</xdr:col>
      <xdr:colOff>361950</xdr:colOff>
      <xdr:row>19</xdr:row>
      <xdr:rowOff>114303</xdr:rowOff>
    </xdr:from>
    <xdr:to>
      <xdr:col>16</xdr:col>
      <xdr:colOff>323850</xdr:colOff>
      <xdr:row>21</xdr:row>
      <xdr:rowOff>57153</xdr:rowOff>
    </xdr:to>
    <xdr:sp macro="" textlink="">
      <xdr:nvSpPr>
        <xdr:cNvPr id="24" name="Round Same Side Corner Rectangle 23">
          <a:hlinkClick xmlns:r="http://schemas.openxmlformats.org/officeDocument/2006/relationships" r:id="rId11"/>
        </xdr:cNvPr>
        <xdr:cNvSpPr/>
      </xdr:nvSpPr>
      <xdr:spPr>
        <a:xfrm rot="5400000">
          <a:off x="8034337" y="3586166"/>
          <a:ext cx="352425" cy="3009900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l"/>
          <a:r>
            <a:rPr lang="hr-HR" sz="1400" b="1"/>
            <a:t>Sažetak projekta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73</xdr:row>
      <xdr:rowOff>119062</xdr:rowOff>
    </xdr:from>
    <xdr:to>
      <xdr:col>6</xdr:col>
      <xdr:colOff>1411942</xdr:colOff>
      <xdr:row>83</xdr:row>
      <xdr:rowOff>22412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358588</xdr:colOff>
      <xdr:row>6</xdr:row>
      <xdr:rowOff>179295</xdr:rowOff>
    </xdr:from>
    <xdr:to>
      <xdr:col>1</xdr:col>
      <xdr:colOff>1105551</xdr:colOff>
      <xdr:row>10</xdr:row>
      <xdr:rowOff>168089</xdr:rowOff>
    </xdr:to>
    <xdr:pic>
      <xdr:nvPicPr>
        <xdr:cNvPr id="26" name="Picture 2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9941" y="750795"/>
          <a:ext cx="746963" cy="750794"/>
        </a:xfrm>
        <a:prstGeom prst="rect">
          <a:avLst/>
        </a:prstGeom>
      </xdr:spPr>
    </xdr:pic>
    <xdr:clientData/>
  </xdr:twoCellAnchor>
  <xdr:twoCellAnchor editAs="oneCell">
    <xdr:from>
      <xdr:col>0</xdr:col>
      <xdr:colOff>280147</xdr:colOff>
      <xdr:row>15</xdr:row>
      <xdr:rowOff>145679</xdr:rowOff>
    </xdr:from>
    <xdr:to>
      <xdr:col>1</xdr:col>
      <xdr:colOff>1221439</xdr:colOff>
      <xdr:row>22</xdr:row>
      <xdr:rowOff>44824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0147" y="2431679"/>
          <a:ext cx="1232645" cy="123264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145676</xdr:rowOff>
    </xdr:from>
    <xdr:to>
      <xdr:col>1</xdr:col>
      <xdr:colOff>1215092</xdr:colOff>
      <xdr:row>41</xdr:row>
      <xdr:rowOff>33618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1353" y="6051176"/>
          <a:ext cx="1215092" cy="1221442"/>
        </a:xfrm>
        <a:prstGeom prst="rect">
          <a:avLst/>
        </a:prstGeom>
      </xdr:spPr>
    </xdr:pic>
    <xdr:clientData/>
  </xdr:twoCellAnchor>
  <xdr:twoCellAnchor editAs="oneCell">
    <xdr:from>
      <xdr:col>1</xdr:col>
      <xdr:colOff>11206</xdr:colOff>
      <xdr:row>49</xdr:row>
      <xdr:rowOff>44824</xdr:rowOff>
    </xdr:from>
    <xdr:to>
      <xdr:col>1</xdr:col>
      <xdr:colOff>1226298</xdr:colOff>
      <xdr:row>55</xdr:row>
      <xdr:rowOff>123266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2559" y="8807824"/>
          <a:ext cx="1215092" cy="1221442"/>
        </a:xfrm>
        <a:prstGeom prst="rect">
          <a:avLst/>
        </a:prstGeom>
      </xdr:spPr>
    </xdr:pic>
    <xdr:clientData/>
  </xdr:twoCellAnchor>
  <xdr:twoCellAnchor editAs="oneCell">
    <xdr:from>
      <xdr:col>1</xdr:col>
      <xdr:colOff>11206</xdr:colOff>
      <xdr:row>56</xdr:row>
      <xdr:rowOff>112061</xdr:rowOff>
    </xdr:from>
    <xdr:to>
      <xdr:col>1</xdr:col>
      <xdr:colOff>1221441</xdr:colOff>
      <xdr:row>62</xdr:row>
      <xdr:rowOff>177108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2559" y="10208561"/>
          <a:ext cx="1210235" cy="120804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168088</xdr:rowOff>
    </xdr:from>
    <xdr:to>
      <xdr:col>1</xdr:col>
      <xdr:colOff>1234828</xdr:colOff>
      <xdr:row>72</xdr:row>
      <xdr:rowOff>44822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91353" y="11979088"/>
          <a:ext cx="1234828" cy="1232646"/>
        </a:xfrm>
        <a:prstGeom prst="rect">
          <a:avLst/>
        </a:prstGeom>
      </xdr:spPr>
    </xdr:pic>
    <xdr:clientData/>
  </xdr:twoCellAnchor>
  <xdr:twoCellAnchor editAs="oneCell">
    <xdr:from>
      <xdr:col>1</xdr:col>
      <xdr:colOff>725580</xdr:colOff>
      <xdr:row>0</xdr:row>
      <xdr:rowOff>164727</xdr:rowOff>
    </xdr:from>
    <xdr:to>
      <xdr:col>2</xdr:col>
      <xdr:colOff>257175</xdr:colOff>
      <xdr:row>1</xdr:row>
      <xdr:rowOff>1000124</xdr:rowOff>
    </xdr:to>
    <xdr:pic>
      <xdr:nvPicPr>
        <xdr:cNvPr id="19" name="Picture 18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755" y="164727"/>
          <a:ext cx="998445" cy="1025897"/>
        </a:xfrm>
        <a:prstGeom prst="rect">
          <a:avLst/>
        </a:prstGeom>
      </xdr:spPr>
    </xdr:pic>
    <xdr:clientData/>
  </xdr:twoCellAnchor>
  <xdr:twoCellAnchor>
    <xdr:from>
      <xdr:col>1</xdr:col>
      <xdr:colOff>533400</xdr:colOff>
      <xdr:row>2</xdr:row>
      <xdr:rowOff>28575</xdr:rowOff>
    </xdr:from>
    <xdr:to>
      <xdr:col>2</xdr:col>
      <xdr:colOff>495300</xdr:colOff>
      <xdr:row>2</xdr:row>
      <xdr:rowOff>333375</xdr:rowOff>
    </xdr:to>
    <xdr:sp macro="" textlink="">
      <xdr:nvSpPr>
        <xdr:cNvPr id="25" name="Round Same Side Corner Rectangle 24">
          <a:hlinkClick xmlns:r="http://schemas.openxmlformats.org/officeDocument/2006/relationships" r:id="rId2"/>
        </xdr:cNvPr>
        <xdr:cNvSpPr/>
      </xdr:nvSpPr>
      <xdr:spPr>
        <a:xfrm>
          <a:off x="790575" y="1276350"/>
          <a:ext cx="1428750" cy="304800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1"/>
            <a:t>Izbornik</a:t>
          </a:r>
        </a:p>
      </xdr:txBody>
    </xdr:sp>
    <xdr:clientData/>
  </xdr:twoCellAnchor>
  <xdr:twoCellAnchor>
    <xdr:from>
      <xdr:col>2</xdr:col>
      <xdr:colOff>971551</xdr:colOff>
      <xdr:row>2</xdr:row>
      <xdr:rowOff>28575</xdr:rowOff>
    </xdr:from>
    <xdr:to>
      <xdr:col>4</xdr:col>
      <xdr:colOff>247651</xdr:colOff>
      <xdr:row>2</xdr:row>
      <xdr:rowOff>333375</xdr:rowOff>
    </xdr:to>
    <xdr:sp macro="" textlink="">
      <xdr:nvSpPr>
        <xdr:cNvPr id="29" name="Round Same Side Corner Rectangle 28">
          <a:hlinkClick xmlns:r="http://schemas.openxmlformats.org/officeDocument/2006/relationships" r:id="rId8"/>
        </xdr:cNvPr>
        <xdr:cNvSpPr/>
      </xdr:nvSpPr>
      <xdr:spPr>
        <a:xfrm>
          <a:off x="2724151" y="1276350"/>
          <a:ext cx="1409700" cy="304800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1"/>
            <a:t>Analiza resursa</a:t>
          </a:r>
        </a:p>
      </xdr:txBody>
    </xdr:sp>
    <xdr:clientData/>
  </xdr:twoCellAnchor>
  <xdr:twoCellAnchor>
    <xdr:from>
      <xdr:col>4</xdr:col>
      <xdr:colOff>714375</xdr:colOff>
      <xdr:row>2</xdr:row>
      <xdr:rowOff>28575</xdr:rowOff>
    </xdr:from>
    <xdr:to>
      <xdr:col>6</xdr:col>
      <xdr:colOff>238125</xdr:colOff>
      <xdr:row>2</xdr:row>
      <xdr:rowOff>333375</xdr:rowOff>
    </xdr:to>
    <xdr:sp macro="" textlink="">
      <xdr:nvSpPr>
        <xdr:cNvPr id="30" name="Round Same Side Corner Rectangle 29">
          <a:hlinkClick xmlns:r="http://schemas.openxmlformats.org/officeDocument/2006/relationships" r:id="rId9"/>
        </xdr:cNvPr>
        <xdr:cNvSpPr/>
      </xdr:nvSpPr>
      <xdr:spPr>
        <a:xfrm>
          <a:off x="4600575" y="1276350"/>
          <a:ext cx="1647825" cy="304800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1"/>
            <a:t>AD analiza</a:t>
          </a:r>
        </a:p>
      </xdr:txBody>
    </xdr:sp>
    <xdr:clientData/>
  </xdr:twoCellAnchor>
  <xdr:twoCellAnchor>
    <xdr:from>
      <xdr:col>6</xdr:col>
      <xdr:colOff>695325</xdr:colOff>
      <xdr:row>2</xdr:row>
      <xdr:rowOff>38100</xdr:rowOff>
    </xdr:from>
    <xdr:to>
      <xdr:col>7</xdr:col>
      <xdr:colOff>1009650</xdr:colOff>
      <xdr:row>3</xdr:row>
      <xdr:rowOff>0</xdr:rowOff>
    </xdr:to>
    <xdr:sp macro="" textlink="">
      <xdr:nvSpPr>
        <xdr:cNvPr id="31" name="Round Same Side Corner Rectangle 30">
          <a:hlinkClick xmlns:r="http://schemas.openxmlformats.org/officeDocument/2006/relationships" r:id="rId10"/>
        </xdr:cNvPr>
        <xdr:cNvSpPr/>
      </xdr:nvSpPr>
      <xdr:spPr>
        <a:xfrm>
          <a:off x="6705600" y="1285875"/>
          <a:ext cx="1809750" cy="304800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1"/>
            <a:t>Financijski</a:t>
          </a:r>
          <a:r>
            <a:rPr lang="hr-HR" sz="1400" b="1" baseline="0"/>
            <a:t> tok</a:t>
          </a:r>
          <a:endParaRPr lang="hr-HR" sz="1400" b="1"/>
        </a:p>
      </xdr:txBody>
    </xdr:sp>
    <xdr:clientData/>
  </xdr:twoCellAnchor>
  <xdr:twoCellAnchor>
    <xdr:from>
      <xdr:col>8</xdr:col>
      <xdr:colOff>161925</xdr:colOff>
      <xdr:row>2</xdr:row>
      <xdr:rowOff>28575</xdr:rowOff>
    </xdr:from>
    <xdr:to>
      <xdr:col>9</xdr:col>
      <xdr:colOff>257175</xdr:colOff>
      <xdr:row>2</xdr:row>
      <xdr:rowOff>333375</xdr:rowOff>
    </xdr:to>
    <xdr:sp macro="" textlink="">
      <xdr:nvSpPr>
        <xdr:cNvPr id="33" name="Round Same Side Corner Rectangle 32">
          <a:hlinkClick xmlns:r="http://schemas.openxmlformats.org/officeDocument/2006/relationships" r:id="rId11"/>
        </xdr:cNvPr>
        <xdr:cNvSpPr/>
      </xdr:nvSpPr>
      <xdr:spPr>
        <a:xfrm>
          <a:off x="8982075" y="1276350"/>
          <a:ext cx="1171575" cy="304800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1"/>
            <a:t>Sažetak</a:t>
          </a:r>
        </a:p>
      </xdr:txBody>
    </xdr:sp>
    <xdr:clientData/>
  </xdr:twoCellAnchor>
  <xdr:twoCellAnchor>
    <xdr:from>
      <xdr:col>9</xdr:col>
      <xdr:colOff>752475</xdr:colOff>
      <xdr:row>2</xdr:row>
      <xdr:rowOff>38100</xdr:rowOff>
    </xdr:from>
    <xdr:to>
      <xdr:col>10</xdr:col>
      <xdr:colOff>914400</xdr:colOff>
      <xdr:row>3</xdr:row>
      <xdr:rowOff>0</xdr:rowOff>
    </xdr:to>
    <xdr:sp macro="" textlink="">
      <xdr:nvSpPr>
        <xdr:cNvPr id="34" name="Round Same Side Corner Rectangle 33">
          <a:hlinkClick xmlns:r="http://schemas.openxmlformats.org/officeDocument/2006/relationships" r:id="rId12"/>
        </xdr:cNvPr>
        <xdr:cNvSpPr/>
      </xdr:nvSpPr>
      <xdr:spPr>
        <a:xfrm>
          <a:off x="10648950" y="1285875"/>
          <a:ext cx="1162050" cy="304800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1"/>
            <a:t>Baza motora</a:t>
          </a:r>
        </a:p>
      </xdr:txBody>
    </xdr:sp>
    <xdr:clientData/>
  </xdr:twoCellAnchor>
  <xdr:twoCellAnchor>
    <xdr:from>
      <xdr:col>11</xdr:col>
      <xdr:colOff>209550</xdr:colOff>
      <xdr:row>1</xdr:row>
      <xdr:rowOff>1047750</xdr:rowOff>
    </xdr:from>
    <xdr:to>
      <xdr:col>12</xdr:col>
      <xdr:colOff>76200</xdr:colOff>
      <xdr:row>3</xdr:row>
      <xdr:rowOff>38100</xdr:rowOff>
    </xdr:to>
    <xdr:sp macro="" textlink="">
      <xdr:nvSpPr>
        <xdr:cNvPr id="35" name="Rectangle 34"/>
        <xdr:cNvSpPr/>
      </xdr:nvSpPr>
      <xdr:spPr>
        <a:xfrm>
          <a:off x="11925300" y="1238250"/>
          <a:ext cx="1333500" cy="3905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2</xdr:col>
      <xdr:colOff>627927</xdr:colOff>
      <xdr:row>2</xdr:row>
      <xdr:rowOff>19752</xdr:rowOff>
    </xdr:from>
    <xdr:to>
      <xdr:col>2</xdr:col>
      <xdr:colOff>942976</xdr:colOff>
      <xdr:row>2</xdr:row>
      <xdr:rowOff>330736</xdr:rowOff>
    </xdr:to>
    <xdr:pic>
      <xdr:nvPicPr>
        <xdr:cNvPr id="36" name="Picture 35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80527" y="1267527"/>
          <a:ext cx="315049" cy="31098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383455</xdr:colOff>
      <xdr:row>2</xdr:row>
      <xdr:rowOff>29786</xdr:rowOff>
    </xdr:from>
    <xdr:to>
      <xdr:col>4</xdr:col>
      <xdr:colOff>695326</xdr:colOff>
      <xdr:row>3</xdr:row>
      <xdr:rowOff>81</xdr:rowOff>
    </xdr:to>
    <xdr:pic>
      <xdr:nvPicPr>
        <xdr:cNvPr id="37" name="Picture 36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9655" y="1277561"/>
          <a:ext cx="311871" cy="31047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6</xdr:col>
      <xdr:colOff>366970</xdr:colOff>
      <xdr:row>2</xdr:row>
      <xdr:rowOff>31537</xdr:rowOff>
    </xdr:from>
    <xdr:to>
      <xdr:col>6</xdr:col>
      <xdr:colOff>675075</xdr:colOff>
      <xdr:row>3</xdr:row>
      <xdr:rowOff>81</xdr:rowOff>
    </xdr:to>
    <xdr:pic>
      <xdr:nvPicPr>
        <xdr:cNvPr id="38" name="Picture 37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377245" y="1279312"/>
          <a:ext cx="308105" cy="30872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9</xdr:col>
      <xdr:colOff>419851</xdr:colOff>
      <xdr:row>2</xdr:row>
      <xdr:rowOff>41061</xdr:rowOff>
    </xdr:from>
    <xdr:to>
      <xdr:col>9</xdr:col>
      <xdr:colOff>728896</xdr:colOff>
      <xdr:row>3</xdr:row>
      <xdr:rowOff>3764</xdr:rowOff>
    </xdr:to>
    <xdr:pic>
      <xdr:nvPicPr>
        <xdr:cNvPr id="39" name="Picture 38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316326" y="1288836"/>
          <a:ext cx="309045" cy="30560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190500</xdr:colOff>
      <xdr:row>2</xdr:row>
      <xdr:rowOff>9525</xdr:rowOff>
    </xdr:from>
    <xdr:to>
      <xdr:col>1</xdr:col>
      <xdr:colOff>518505</xdr:colOff>
      <xdr:row>2</xdr:row>
      <xdr:rowOff>330424</xdr:rowOff>
    </xdr:to>
    <xdr:pic>
      <xdr:nvPicPr>
        <xdr:cNvPr id="40" name="Picture 39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76250" y="1257300"/>
          <a:ext cx="328005" cy="32089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7</xdr:col>
      <xdr:colOff>1162052</xdr:colOff>
      <xdr:row>2</xdr:row>
      <xdr:rowOff>50587</xdr:rowOff>
    </xdr:from>
    <xdr:to>
      <xdr:col>8</xdr:col>
      <xdr:colOff>143413</xdr:colOff>
      <xdr:row>3</xdr:row>
      <xdr:rowOff>2962</xdr:rowOff>
    </xdr:to>
    <xdr:pic>
      <xdr:nvPicPr>
        <xdr:cNvPr id="41" name="Picture 40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667752" y="1298362"/>
          <a:ext cx="295811" cy="2952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5</xdr:row>
      <xdr:rowOff>9525</xdr:rowOff>
    </xdr:from>
    <xdr:to>
      <xdr:col>1</xdr:col>
      <xdr:colOff>1004138</xdr:colOff>
      <xdr:row>8</xdr:row>
      <xdr:rowOff>188819</xdr:rowOff>
    </xdr:to>
    <xdr:pic>
      <xdr:nvPicPr>
        <xdr:cNvPr id="72" name="Picture 7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" y="390525"/>
          <a:ext cx="746963" cy="75079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1234828</xdr:colOff>
      <xdr:row>17</xdr:row>
      <xdr:rowOff>89646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7175" y="1524000"/>
          <a:ext cx="1234828" cy="1232646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36</xdr:row>
      <xdr:rowOff>152401</xdr:rowOff>
    </xdr:from>
    <xdr:to>
      <xdr:col>1</xdr:col>
      <xdr:colOff>1245841</xdr:colOff>
      <xdr:row>43</xdr:row>
      <xdr:rowOff>66675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7176" y="6438901"/>
          <a:ext cx="1245840" cy="1247774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10</xdr:row>
      <xdr:rowOff>160804</xdr:rowOff>
    </xdr:from>
    <xdr:to>
      <xdr:col>11</xdr:col>
      <xdr:colOff>1257301</xdr:colOff>
      <xdr:row>17</xdr:row>
      <xdr:rowOff>79321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715751" y="1494304"/>
          <a:ext cx="1257300" cy="1252017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26</xdr:row>
      <xdr:rowOff>180976</xdr:rowOff>
    </xdr:from>
    <xdr:to>
      <xdr:col>1</xdr:col>
      <xdr:colOff>1240499</xdr:colOff>
      <xdr:row>33</xdr:row>
      <xdr:rowOff>85726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7176" y="4562476"/>
          <a:ext cx="1240498" cy="12382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54</xdr:row>
      <xdr:rowOff>85725</xdr:rowOff>
    </xdr:from>
    <xdr:to>
      <xdr:col>1</xdr:col>
      <xdr:colOff>1244847</xdr:colOff>
      <xdr:row>61</xdr:row>
      <xdr:rowOff>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57176" y="9801225"/>
          <a:ext cx="1244846" cy="124777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63</xdr:row>
      <xdr:rowOff>47626</xdr:rowOff>
    </xdr:from>
    <xdr:to>
      <xdr:col>1</xdr:col>
      <xdr:colOff>1257301</xdr:colOff>
      <xdr:row>69</xdr:row>
      <xdr:rowOff>161926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57176" y="11477626"/>
          <a:ext cx="1257300" cy="12573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</xdr:row>
      <xdr:rowOff>171450</xdr:rowOff>
    </xdr:from>
    <xdr:to>
      <xdr:col>1</xdr:col>
      <xdr:colOff>1249475</xdr:colOff>
      <xdr:row>81</xdr:row>
      <xdr:rowOff>95250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57175" y="13696950"/>
          <a:ext cx="1249475" cy="1257300"/>
        </a:xfrm>
        <a:prstGeom prst="rect">
          <a:avLst/>
        </a:prstGeom>
      </xdr:spPr>
    </xdr:pic>
    <xdr:clientData/>
  </xdr:twoCellAnchor>
  <xdr:twoCellAnchor editAs="oneCell">
    <xdr:from>
      <xdr:col>1</xdr:col>
      <xdr:colOff>725580</xdr:colOff>
      <xdr:row>1</xdr:row>
      <xdr:rowOff>21852</xdr:rowOff>
    </xdr:from>
    <xdr:to>
      <xdr:col>2</xdr:col>
      <xdr:colOff>257175</xdr:colOff>
      <xdr:row>1</xdr:row>
      <xdr:rowOff>1047749</xdr:rowOff>
    </xdr:to>
    <xdr:pic>
      <xdr:nvPicPr>
        <xdr:cNvPr id="10" name="Picture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755" y="212352"/>
          <a:ext cx="998445" cy="1025897"/>
        </a:xfrm>
        <a:prstGeom prst="rect">
          <a:avLst/>
        </a:prstGeom>
      </xdr:spPr>
    </xdr:pic>
    <xdr:clientData/>
  </xdr:twoCellAnchor>
  <xdr:twoCellAnchor editAs="oneCell">
    <xdr:from>
      <xdr:col>3</xdr:col>
      <xdr:colOff>18326</xdr:colOff>
      <xdr:row>2</xdr:row>
      <xdr:rowOff>35840</xdr:rowOff>
    </xdr:from>
    <xdr:to>
      <xdr:col>3</xdr:col>
      <xdr:colOff>333375</xdr:colOff>
      <xdr:row>3</xdr:row>
      <xdr:rowOff>3924</xdr:rowOff>
    </xdr:to>
    <xdr:pic>
      <xdr:nvPicPr>
        <xdr:cNvPr id="21" name="Picture 20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351951" y="1283615"/>
          <a:ext cx="315049" cy="31098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3</xdr:col>
      <xdr:colOff>1907454</xdr:colOff>
      <xdr:row>2</xdr:row>
      <xdr:rowOff>36349</xdr:rowOff>
    </xdr:from>
    <xdr:to>
      <xdr:col>4</xdr:col>
      <xdr:colOff>85725</xdr:colOff>
      <xdr:row>3</xdr:row>
      <xdr:rowOff>3923</xdr:rowOff>
    </xdr:to>
    <xdr:pic>
      <xdr:nvPicPr>
        <xdr:cNvPr id="22" name="Picture 21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1079" y="1284124"/>
          <a:ext cx="311871" cy="31047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6</xdr:col>
      <xdr:colOff>109794</xdr:colOff>
      <xdr:row>2</xdr:row>
      <xdr:rowOff>38100</xdr:rowOff>
    </xdr:from>
    <xdr:to>
      <xdr:col>6</xdr:col>
      <xdr:colOff>417899</xdr:colOff>
      <xdr:row>3</xdr:row>
      <xdr:rowOff>3923</xdr:rowOff>
    </xdr:to>
    <xdr:pic>
      <xdr:nvPicPr>
        <xdr:cNvPr id="23" name="Picture 22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148644" y="1285875"/>
          <a:ext cx="308105" cy="30872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9</xdr:col>
      <xdr:colOff>562725</xdr:colOff>
      <xdr:row>2</xdr:row>
      <xdr:rowOff>38099</xdr:rowOff>
    </xdr:from>
    <xdr:to>
      <xdr:col>9</xdr:col>
      <xdr:colOff>871770</xdr:colOff>
      <xdr:row>3</xdr:row>
      <xdr:rowOff>802</xdr:rowOff>
    </xdr:to>
    <xdr:pic>
      <xdr:nvPicPr>
        <xdr:cNvPr id="24" name="Picture 23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982950" y="1285874"/>
          <a:ext cx="309045" cy="30560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190499</xdr:colOff>
      <xdr:row>2</xdr:row>
      <xdr:rowOff>25613</xdr:rowOff>
    </xdr:from>
    <xdr:to>
      <xdr:col>1</xdr:col>
      <xdr:colOff>518504</xdr:colOff>
      <xdr:row>3</xdr:row>
      <xdr:rowOff>3612</xdr:rowOff>
    </xdr:to>
    <xdr:pic>
      <xdr:nvPicPr>
        <xdr:cNvPr id="25" name="Picture 2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47674" y="1273388"/>
          <a:ext cx="328005" cy="32089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</xdr:col>
      <xdr:colOff>533400</xdr:colOff>
      <xdr:row>2</xdr:row>
      <xdr:rowOff>28575</xdr:rowOff>
    </xdr:from>
    <xdr:to>
      <xdr:col>2</xdr:col>
      <xdr:colOff>495300</xdr:colOff>
      <xdr:row>2</xdr:row>
      <xdr:rowOff>333375</xdr:rowOff>
    </xdr:to>
    <xdr:sp macro="" textlink="">
      <xdr:nvSpPr>
        <xdr:cNvPr id="2" name="Round Same Side Corner Rectangle 1">
          <a:hlinkClick xmlns:r="http://schemas.openxmlformats.org/officeDocument/2006/relationships" r:id="rId1"/>
        </xdr:cNvPr>
        <xdr:cNvSpPr/>
      </xdr:nvSpPr>
      <xdr:spPr>
        <a:xfrm>
          <a:off x="790575" y="1276350"/>
          <a:ext cx="1428750" cy="304800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1"/>
            <a:t>Izbornik</a:t>
          </a:r>
        </a:p>
      </xdr:txBody>
    </xdr:sp>
    <xdr:clientData/>
  </xdr:twoCellAnchor>
  <xdr:twoCellAnchor>
    <xdr:from>
      <xdr:col>3</xdr:col>
      <xdr:colOff>352425</xdr:colOff>
      <xdr:row>2</xdr:row>
      <xdr:rowOff>38100</xdr:rowOff>
    </xdr:from>
    <xdr:to>
      <xdr:col>3</xdr:col>
      <xdr:colOff>1781175</xdr:colOff>
      <xdr:row>3</xdr:row>
      <xdr:rowOff>0</xdr:rowOff>
    </xdr:to>
    <xdr:sp macro="" textlink="">
      <xdr:nvSpPr>
        <xdr:cNvPr id="28" name="Round Same Side Corner Rectangle 27">
          <a:hlinkClick xmlns:r="http://schemas.openxmlformats.org/officeDocument/2006/relationships" r:id="rId10"/>
        </xdr:cNvPr>
        <xdr:cNvSpPr/>
      </xdr:nvSpPr>
      <xdr:spPr>
        <a:xfrm>
          <a:off x="2686050" y="1285875"/>
          <a:ext cx="1428750" cy="304800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1"/>
            <a:t>Analiza resursa</a:t>
          </a:r>
        </a:p>
      </xdr:txBody>
    </xdr:sp>
    <xdr:clientData/>
  </xdr:twoCellAnchor>
  <xdr:twoCellAnchor>
    <xdr:from>
      <xdr:col>4</xdr:col>
      <xdr:colOff>104775</xdr:colOff>
      <xdr:row>2</xdr:row>
      <xdr:rowOff>38100</xdr:rowOff>
    </xdr:from>
    <xdr:to>
      <xdr:col>5</xdr:col>
      <xdr:colOff>600075</xdr:colOff>
      <xdr:row>3</xdr:row>
      <xdr:rowOff>0</xdr:rowOff>
    </xdr:to>
    <xdr:sp macro="" textlink="">
      <xdr:nvSpPr>
        <xdr:cNvPr id="29" name="Round Same Side Corner Rectangle 28">
          <a:hlinkClick xmlns:r="http://schemas.openxmlformats.org/officeDocument/2006/relationships" r:id="rId12"/>
        </xdr:cNvPr>
        <xdr:cNvSpPr/>
      </xdr:nvSpPr>
      <xdr:spPr>
        <a:xfrm>
          <a:off x="4572000" y="1285875"/>
          <a:ext cx="1428750" cy="304800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1"/>
            <a:t>AD analiza</a:t>
          </a:r>
        </a:p>
      </xdr:txBody>
    </xdr:sp>
    <xdr:clientData/>
  </xdr:twoCellAnchor>
  <xdr:twoCellAnchor>
    <xdr:from>
      <xdr:col>6</xdr:col>
      <xdr:colOff>438150</xdr:colOff>
      <xdr:row>2</xdr:row>
      <xdr:rowOff>38100</xdr:rowOff>
    </xdr:from>
    <xdr:to>
      <xdr:col>7</xdr:col>
      <xdr:colOff>752475</xdr:colOff>
      <xdr:row>3</xdr:row>
      <xdr:rowOff>0</xdr:rowOff>
    </xdr:to>
    <xdr:sp macro="" textlink="">
      <xdr:nvSpPr>
        <xdr:cNvPr id="30" name="Round Same Side Corner Rectangle 29">
          <a:hlinkClick xmlns:r="http://schemas.openxmlformats.org/officeDocument/2006/relationships" r:id="rId13"/>
        </xdr:cNvPr>
        <xdr:cNvSpPr/>
      </xdr:nvSpPr>
      <xdr:spPr>
        <a:xfrm>
          <a:off x="6477000" y="1285875"/>
          <a:ext cx="1428750" cy="304800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1"/>
            <a:t>Financijski</a:t>
          </a:r>
          <a:r>
            <a:rPr lang="hr-HR" sz="1400" b="1" baseline="0"/>
            <a:t> tok</a:t>
          </a:r>
          <a:endParaRPr lang="hr-HR" sz="1400" b="1"/>
        </a:p>
      </xdr:txBody>
    </xdr:sp>
    <xdr:clientData/>
  </xdr:twoCellAnchor>
  <xdr:twoCellAnchor editAs="oneCell">
    <xdr:from>
      <xdr:col>7</xdr:col>
      <xdr:colOff>904876</xdr:colOff>
      <xdr:row>2</xdr:row>
      <xdr:rowOff>47625</xdr:rowOff>
    </xdr:from>
    <xdr:to>
      <xdr:col>8</xdr:col>
      <xdr:colOff>267237</xdr:colOff>
      <xdr:row>3</xdr:row>
      <xdr:rowOff>0</xdr:rowOff>
    </xdr:to>
    <xdr:pic>
      <xdr:nvPicPr>
        <xdr:cNvPr id="31" name="Picture 30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058151" y="1295400"/>
          <a:ext cx="295811" cy="2952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8</xdr:col>
      <xdr:colOff>285750</xdr:colOff>
      <xdr:row>2</xdr:row>
      <xdr:rowOff>28575</xdr:rowOff>
    </xdr:from>
    <xdr:to>
      <xdr:col>9</xdr:col>
      <xdr:colOff>381000</xdr:colOff>
      <xdr:row>2</xdr:row>
      <xdr:rowOff>333375</xdr:rowOff>
    </xdr:to>
    <xdr:sp macro="" textlink="">
      <xdr:nvSpPr>
        <xdr:cNvPr id="35" name="Round Same Side Corner Rectangle 34">
          <a:hlinkClick xmlns:r="http://schemas.openxmlformats.org/officeDocument/2006/relationships" r:id="rId17"/>
        </xdr:cNvPr>
        <xdr:cNvSpPr/>
      </xdr:nvSpPr>
      <xdr:spPr>
        <a:xfrm>
          <a:off x="8372475" y="1276350"/>
          <a:ext cx="1428750" cy="304800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1"/>
            <a:t>Sažetak</a:t>
          </a:r>
        </a:p>
      </xdr:txBody>
    </xdr:sp>
    <xdr:clientData/>
  </xdr:twoCellAnchor>
  <xdr:twoCellAnchor>
    <xdr:from>
      <xdr:col>9</xdr:col>
      <xdr:colOff>895350</xdr:colOff>
      <xdr:row>2</xdr:row>
      <xdr:rowOff>38100</xdr:rowOff>
    </xdr:from>
    <xdr:to>
      <xdr:col>11</xdr:col>
      <xdr:colOff>28575</xdr:colOff>
      <xdr:row>3</xdr:row>
      <xdr:rowOff>0</xdr:rowOff>
    </xdr:to>
    <xdr:sp macro="" textlink="">
      <xdr:nvSpPr>
        <xdr:cNvPr id="36" name="Round Same Side Corner Rectangle 35">
          <a:hlinkClick xmlns:r="http://schemas.openxmlformats.org/officeDocument/2006/relationships" r:id="rId15"/>
        </xdr:cNvPr>
        <xdr:cNvSpPr/>
      </xdr:nvSpPr>
      <xdr:spPr>
        <a:xfrm>
          <a:off x="10315575" y="1285875"/>
          <a:ext cx="1428750" cy="304800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1"/>
            <a:t>Baza motora</a:t>
          </a:r>
        </a:p>
      </xdr:txBody>
    </xdr:sp>
    <xdr:clientData/>
  </xdr:twoCellAnchor>
  <xdr:twoCellAnchor>
    <xdr:from>
      <xdr:col>11</xdr:col>
      <xdr:colOff>209550</xdr:colOff>
      <xdr:row>1</xdr:row>
      <xdr:rowOff>1047750</xdr:rowOff>
    </xdr:from>
    <xdr:to>
      <xdr:col>12</xdr:col>
      <xdr:colOff>76200</xdr:colOff>
      <xdr:row>3</xdr:row>
      <xdr:rowOff>38100</xdr:rowOff>
    </xdr:to>
    <xdr:sp macro="" textlink="">
      <xdr:nvSpPr>
        <xdr:cNvPr id="37" name="Rectangle 36"/>
        <xdr:cNvSpPr/>
      </xdr:nvSpPr>
      <xdr:spPr>
        <a:xfrm>
          <a:off x="11925300" y="1238250"/>
          <a:ext cx="1333500" cy="3905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6</xdr:col>
      <xdr:colOff>762000</xdr:colOff>
      <xdr:row>36</xdr:row>
      <xdr:rowOff>145676</xdr:rowOff>
    </xdr:from>
    <xdr:to>
      <xdr:col>6</xdr:col>
      <xdr:colOff>1071045</xdr:colOff>
      <xdr:row>38</xdr:row>
      <xdr:rowOff>74761</xdr:rowOff>
    </xdr:to>
    <xdr:pic>
      <xdr:nvPicPr>
        <xdr:cNvPr id="26" name="Picture 25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90765" y="8023411"/>
          <a:ext cx="309045" cy="31008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119813</xdr:colOff>
      <xdr:row>73</xdr:row>
      <xdr:rowOff>114300</xdr:rowOff>
    </xdr:from>
    <xdr:to>
      <xdr:col>2</xdr:col>
      <xdr:colOff>432</xdr:colOff>
      <xdr:row>76</xdr:row>
      <xdr:rowOff>28575</xdr:rowOff>
    </xdr:to>
    <xdr:sp macro="" textlink="">
      <xdr:nvSpPr>
        <xdr:cNvPr id="28" name="TextBox 27"/>
        <xdr:cNvSpPr txBox="1"/>
      </xdr:nvSpPr>
      <xdr:spPr>
        <a:xfrm>
          <a:off x="467195" y="14838829"/>
          <a:ext cx="1359796" cy="485775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r-HR" sz="1100"/>
            <a:t>OPTION 1</a:t>
          </a:r>
          <a:endParaRPr lang="nl-BE" sz="1100"/>
        </a:p>
      </xdr:txBody>
    </xdr:sp>
    <xdr:clientData/>
  </xdr:twoCellAnchor>
  <xdr:twoCellAnchor>
    <xdr:from>
      <xdr:col>1</xdr:col>
      <xdr:colOff>115957</xdr:colOff>
      <xdr:row>99</xdr:row>
      <xdr:rowOff>114300</xdr:rowOff>
    </xdr:from>
    <xdr:to>
      <xdr:col>1</xdr:col>
      <xdr:colOff>1466022</xdr:colOff>
      <xdr:row>102</xdr:row>
      <xdr:rowOff>28575</xdr:rowOff>
    </xdr:to>
    <xdr:sp macro="" textlink="">
      <xdr:nvSpPr>
        <xdr:cNvPr id="33" name="TextBox 32"/>
        <xdr:cNvSpPr txBox="1"/>
      </xdr:nvSpPr>
      <xdr:spPr>
        <a:xfrm>
          <a:off x="472109" y="19586713"/>
          <a:ext cx="1350065" cy="485775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r-HR" sz="1100"/>
            <a:t>OPTION 3</a:t>
          </a:r>
          <a:endParaRPr lang="nl-BE" sz="1100"/>
        </a:p>
      </xdr:txBody>
    </xdr:sp>
    <xdr:clientData/>
  </xdr:twoCellAnchor>
  <xdr:twoCellAnchor>
    <xdr:from>
      <xdr:col>1</xdr:col>
      <xdr:colOff>109805</xdr:colOff>
      <xdr:row>86</xdr:row>
      <xdr:rowOff>104775</xdr:rowOff>
    </xdr:from>
    <xdr:to>
      <xdr:col>1</xdr:col>
      <xdr:colOff>1457325</xdr:colOff>
      <xdr:row>89</xdr:row>
      <xdr:rowOff>19050</xdr:rowOff>
    </xdr:to>
    <xdr:sp macro="" textlink="">
      <xdr:nvSpPr>
        <xdr:cNvPr id="46" name="TextBox 45"/>
        <xdr:cNvSpPr txBox="1"/>
      </xdr:nvSpPr>
      <xdr:spPr>
        <a:xfrm>
          <a:off x="457187" y="17115304"/>
          <a:ext cx="1347520" cy="485775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r-HR" sz="1100"/>
            <a:t>OPTION 2</a:t>
          </a:r>
          <a:endParaRPr lang="nl-BE" sz="1100"/>
        </a:p>
      </xdr:txBody>
    </xdr:sp>
    <xdr:clientData/>
  </xdr:twoCellAnchor>
  <xdr:twoCellAnchor editAs="oneCell">
    <xdr:from>
      <xdr:col>1</xdr:col>
      <xdr:colOff>369794</xdr:colOff>
      <xdr:row>5</xdr:row>
      <xdr:rowOff>11206</xdr:rowOff>
    </xdr:from>
    <xdr:to>
      <xdr:col>1</xdr:col>
      <xdr:colOff>1116757</xdr:colOff>
      <xdr:row>9</xdr:row>
      <xdr:rowOff>0</xdr:rowOff>
    </xdr:to>
    <xdr:pic>
      <xdr:nvPicPr>
        <xdr:cNvPr id="36" name="Picture 3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7176" y="582706"/>
          <a:ext cx="746963" cy="750794"/>
        </a:xfrm>
        <a:prstGeom prst="rect">
          <a:avLst/>
        </a:prstGeom>
      </xdr:spPr>
    </xdr:pic>
    <xdr:clientData/>
  </xdr:twoCellAnchor>
  <xdr:twoCellAnchor editAs="oneCell">
    <xdr:from>
      <xdr:col>0</xdr:col>
      <xdr:colOff>336176</xdr:colOff>
      <xdr:row>11</xdr:row>
      <xdr:rowOff>33617</xdr:rowOff>
    </xdr:from>
    <xdr:to>
      <xdr:col>1</xdr:col>
      <xdr:colOff>1233961</xdr:colOff>
      <xdr:row>17</xdr:row>
      <xdr:rowOff>128867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6176" y="1748117"/>
          <a:ext cx="1245167" cy="12382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26</xdr:row>
      <xdr:rowOff>168088</xdr:rowOff>
    </xdr:from>
    <xdr:to>
      <xdr:col>1</xdr:col>
      <xdr:colOff>1232647</xdr:colOff>
      <xdr:row>32</xdr:row>
      <xdr:rowOff>78441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7247" b="7608"/>
        <a:stretch/>
      </xdr:blipFill>
      <xdr:spPr>
        <a:xfrm>
          <a:off x="347383" y="6163235"/>
          <a:ext cx="1232646" cy="10533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134477</xdr:rowOff>
    </xdr:from>
    <xdr:to>
      <xdr:col>1</xdr:col>
      <xdr:colOff>1218849</xdr:colOff>
      <xdr:row>48</xdr:row>
      <xdr:rowOff>67241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47382" y="8819036"/>
          <a:ext cx="1218849" cy="121023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34</xdr:row>
      <xdr:rowOff>22411</xdr:rowOff>
    </xdr:from>
    <xdr:to>
      <xdr:col>1</xdr:col>
      <xdr:colOff>1232647</xdr:colOff>
      <xdr:row>38</xdr:row>
      <xdr:rowOff>179294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t="14499" b="7561"/>
        <a:stretch/>
      </xdr:blipFill>
      <xdr:spPr>
        <a:xfrm>
          <a:off x="347383" y="7351058"/>
          <a:ext cx="1232646" cy="963707"/>
        </a:xfrm>
        <a:prstGeom prst="rect">
          <a:avLst/>
        </a:prstGeom>
      </xdr:spPr>
    </xdr:pic>
    <xdr:clientData/>
  </xdr:twoCellAnchor>
  <xdr:twoCellAnchor editAs="oneCell">
    <xdr:from>
      <xdr:col>1</xdr:col>
      <xdr:colOff>123264</xdr:colOff>
      <xdr:row>67</xdr:row>
      <xdr:rowOff>67235</xdr:rowOff>
    </xdr:from>
    <xdr:to>
      <xdr:col>2</xdr:col>
      <xdr:colOff>11206</xdr:colOff>
      <xdr:row>73</xdr:row>
      <xdr:rowOff>112059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70646" y="13648764"/>
          <a:ext cx="1367119" cy="1187824"/>
        </a:xfrm>
        <a:prstGeom prst="rect">
          <a:avLst/>
        </a:prstGeom>
      </xdr:spPr>
    </xdr:pic>
    <xdr:clientData/>
  </xdr:twoCellAnchor>
  <xdr:twoCellAnchor editAs="oneCell">
    <xdr:from>
      <xdr:col>1</xdr:col>
      <xdr:colOff>100854</xdr:colOff>
      <xdr:row>80</xdr:row>
      <xdr:rowOff>64313</xdr:rowOff>
    </xdr:from>
    <xdr:to>
      <xdr:col>1</xdr:col>
      <xdr:colOff>1467973</xdr:colOff>
      <xdr:row>86</xdr:row>
      <xdr:rowOff>109137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57006" y="15917226"/>
          <a:ext cx="1367119" cy="1187824"/>
        </a:xfrm>
        <a:prstGeom prst="rect">
          <a:avLst/>
        </a:prstGeom>
      </xdr:spPr>
    </xdr:pic>
    <xdr:clientData/>
  </xdr:twoCellAnchor>
  <xdr:twoCellAnchor editAs="oneCell">
    <xdr:from>
      <xdr:col>1</xdr:col>
      <xdr:colOff>112059</xdr:colOff>
      <xdr:row>93</xdr:row>
      <xdr:rowOff>78442</xdr:rowOff>
    </xdr:from>
    <xdr:to>
      <xdr:col>2</xdr:col>
      <xdr:colOff>1</xdr:colOff>
      <xdr:row>99</xdr:row>
      <xdr:rowOff>123266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59441" y="18422471"/>
          <a:ext cx="1367119" cy="1187824"/>
        </a:xfrm>
        <a:prstGeom prst="rect">
          <a:avLst/>
        </a:prstGeom>
      </xdr:spPr>
    </xdr:pic>
    <xdr:clientData/>
  </xdr:twoCellAnchor>
  <xdr:twoCellAnchor editAs="oneCell">
    <xdr:from>
      <xdr:col>1</xdr:col>
      <xdr:colOff>683559</xdr:colOff>
      <xdr:row>0</xdr:row>
      <xdr:rowOff>123266</xdr:rowOff>
    </xdr:from>
    <xdr:to>
      <xdr:col>2</xdr:col>
      <xdr:colOff>179294</xdr:colOff>
      <xdr:row>1</xdr:row>
      <xdr:rowOff>896470</xdr:rowOff>
    </xdr:to>
    <xdr:pic>
      <xdr:nvPicPr>
        <xdr:cNvPr id="13" name="Picture 1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0941" y="123266"/>
          <a:ext cx="974912" cy="963704"/>
        </a:xfrm>
        <a:prstGeom prst="rect">
          <a:avLst/>
        </a:prstGeom>
      </xdr:spPr>
    </xdr:pic>
    <xdr:clientData/>
  </xdr:twoCellAnchor>
  <xdr:twoCellAnchor editAs="oneCell">
    <xdr:from>
      <xdr:col>1</xdr:col>
      <xdr:colOff>725580</xdr:colOff>
      <xdr:row>0</xdr:row>
      <xdr:rowOff>164727</xdr:rowOff>
    </xdr:from>
    <xdr:to>
      <xdr:col>2</xdr:col>
      <xdr:colOff>247650</xdr:colOff>
      <xdr:row>1</xdr:row>
      <xdr:rowOff>1000124</xdr:rowOff>
    </xdr:to>
    <xdr:pic>
      <xdr:nvPicPr>
        <xdr:cNvPr id="29" name="Picture 2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755" y="164727"/>
          <a:ext cx="998445" cy="1025897"/>
        </a:xfrm>
        <a:prstGeom prst="rect">
          <a:avLst/>
        </a:prstGeom>
      </xdr:spPr>
    </xdr:pic>
    <xdr:clientData/>
  </xdr:twoCellAnchor>
  <xdr:twoCellAnchor editAs="oneCell">
    <xdr:from>
      <xdr:col>2</xdr:col>
      <xdr:colOff>698519</xdr:colOff>
      <xdr:row>2</xdr:row>
      <xdr:rowOff>45365</xdr:rowOff>
    </xdr:from>
    <xdr:to>
      <xdr:col>2</xdr:col>
      <xdr:colOff>1013568</xdr:colOff>
      <xdr:row>3</xdr:row>
      <xdr:rowOff>2801</xdr:rowOff>
    </xdr:to>
    <xdr:pic>
      <xdr:nvPicPr>
        <xdr:cNvPr id="30" name="Picture 29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527319" y="1293140"/>
          <a:ext cx="315049" cy="30033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3</xdr:col>
      <xdr:colOff>1624854</xdr:colOff>
      <xdr:row>2</xdr:row>
      <xdr:rowOff>25142</xdr:rowOff>
    </xdr:from>
    <xdr:to>
      <xdr:col>3</xdr:col>
      <xdr:colOff>1950384</xdr:colOff>
      <xdr:row>3</xdr:row>
      <xdr:rowOff>0</xdr:rowOff>
    </xdr:to>
    <xdr:pic>
      <xdr:nvPicPr>
        <xdr:cNvPr id="31" name="Picture 30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471148" y="1268995"/>
          <a:ext cx="325530" cy="32224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5</xdr:col>
      <xdr:colOff>211231</xdr:colOff>
      <xdr:row>2</xdr:row>
      <xdr:rowOff>38100</xdr:rowOff>
    </xdr:from>
    <xdr:to>
      <xdr:col>5</xdr:col>
      <xdr:colOff>536201</xdr:colOff>
      <xdr:row>3</xdr:row>
      <xdr:rowOff>1109</xdr:rowOff>
    </xdr:to>
    <xdr:pic>
      <xdr:nvPicPr>
        <xdr:cNvPr id="32" name="Picture 31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31081" y="1285875"/>
          <a:ext cx="324970" cy="30590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8</xdr:col>
      <xdr:colOff>898900</xdr:colOff>
      <xdr:row>2</xdr:row>
      <xdr:rowOff>38099</xdr:rowOff>
    </xdr:from>
    <xdr:to>
      <xdr:col>9</xdr:col>
      <xdr:colOff>199416</xdr:colOff>
      <xdr:row>3</xdr:row>
      <xdr:rowOff>0</xdr:rowOff>
    </xdr:to>
    <xdr:pic>
      <xdr:nvPicPr>
        <xdr:cNvPr id="34" name="Picture 33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345459" y="1281952"/>
          <a:ext cx="309045" cy="30928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190499</xdr:colOff>
      <xdr:row>2</xdr:row>
      <xdr:rowOff>25613</xdr:rowOff>
    </xdr:from>
    <xdr:to>
      <xdr:col>1</xdr:col>
      <xdr:colOff>518504</xdr:colOff>
      <xdr:row>2</xdr:row>
      <xdr:rowOff>336176</xdr:rowOff>
    </xdr:to>
    <xdr:pic>
      <xdr:nvPicPr>
        <xdr:cNvPr id="35" name="Picture 3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7881" y="1269466"/>
          <a:ext cx="328005" cy="31056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</xdr:col>
      <xdr:colOff>533400</xdr:colOff>
      <xdr:row>2</xdr:row>
      <xdr:rowOff>28575</xdr:rowOff>
    </xdr:from>
    <xdr:to>
      <xdr:col>2</xdr:col>
      <xdr:colOff>495300</xdr:colOff>
      <xdr:row>2</xdr:row>
      <xdr:rowOff>333375</xdr:rowOff>
    </xdr:to>
    <xdr:sp macro="" textlink="">
      <xdr:nvSpPr>
        <xdr:cNvPr id="40" name="Round Same Side Corner Rectangle 39">
          <a:hlinkClick xmlns:r="http://schemas.openxmlformats.org/officeDocument/2006/relationships" r:id="rId1"/>
        </xdr:cNvPr>
        <xdr:cNvSpPr/>
      </xdr:nvSpPr>
      <xdr:spPr>
        <a:xfrm>
          <a:off x="790575" y="1276350"/>
          <a:ext cx="1428750" cy="304800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1"/>
            <a:t>Izbornik</a:t>
          </a:r>
        </a:p>
      </xdr:txBody>
    </xdr:sp>
    <xdr:clientData/>
  </xdr:twoCellAnchor>
  <xdr:twoCellAnchor>
    <xdr:from>
      <xdr:col>3</xdr:col>
      <xdr:colOff>5039</xdr:colOff>
      <xdr:row>2</xdr:row>
      <xdr:rowOff>38100</xdr:rowOff>
    </xdr:from>
    <xdr:to>
      <xdr:col>3</xdr:col>
      <xdr:colOff>1433789</xdr:colOff>
      <xdr:row>3</xdr:row>
      <xdr:rowOff>0</xdr:rowOff>
    </xdr:to>
    <xdr:sp macro="" textlink="">
      <xdr:nvSpPr>
        <xdr:cNvPr id="41" name="Round Same Side Corner Rectangle 40">
          <a:hlinkClick xmlns:r="http://schemas.openxmlformats.org/officeDocument/2006/relationships" r:id="rId8"/>
        </xdr:cNvPr>
        <xdr:cNvSpPr/>
      </xdr:nvSpPr>
      <xdr:spPr>
        <a:xfrm>
          <a:off x="2851333" y="1281953"/>
          <a:ext cx="1428750" cy="309282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1"/>
            <a:t>Analiza resursa</a:t>
          </a:r>
        </a:p>
      </xdr:txBody>
    </xdr:sp>
    <xdr:clientData/>
  </xdr:twoCellAnchor>
  <xdr:twoCellAnchor>
    <xdr:from>
      <xdr:col>3</xdr:col>
      <xdr:colOff>1976155</xdr:colOff>
      <xdr:row>2</xdr:row>
      <xdr:rowOff>38100</xdr:rowOff>
    </xdr:from>
    <xdr:to>
      <xdr:col>5</xdr:col>
      <xdr:colOff>17367</xdr:colOff>
      <xdr:row>3</xdr:row>
      <xdr:rowOff>0</xdr:rowOff>
    </xdr:to>
    <xdr:sp macro="" textlink="">
      <xdr:nvSpPr>
        <xdr:cNvPr id="42" name="Round Same Side Corner Rectangle 41">
          <a:hlinkClick xmlns:r="http://schemas.openxmlformats.org/officeDocument/2006/relationships" r:id="rId10"/>
        </xdr:cNvPr>
        <xdr:cNvSpPr/>
      </xdr:nvSpPr>
      <xdr:spPr>
        <a:xfrm>
          <a:off x="4822449" y="1281953"/>
          <a:ext cx="1604683" cy="309282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1"/>
            <a:t>AD analiza</a:t>
          </a:r>
        </a:p>
      </xdr:txBody>
    </xdr:sp>
    <xdr:clientData/>
  </xdr:twoCellAnchor>
  <xdr:twoCellAnchor>
    <xdr:from>
      <xdr:col>5</xdr:col>
      <xdr:colOff>550204</xdr:colOff>
      <xdr:row>2</xdr:row>
      <xdr:rowOff>38100</xdr:rowOff>
    </xdr:from>
    <xdr:to>
      <xdr:col>6</xdr:col>
      <xdr:colOff>1178295</xdr:colOff>
      <xdr:row>3</xdr:row>
      <xdr:rowOff>0</xdr:rowOff>
    </xdr:to>
    <xdr:sp macro="" textlink="">
      <xdr:nvSpPr>
        <xdr:cNvPr id="43" name="Round Same Side Corner Rectangle 42">
          <a:hlinkClick xmlns:r="http://schemas.openxmlformats.org/officeDocument/2006/relationships" r:id="rId12"/>
        </xdr:cNvPr>
        <xdr:cNvSpPr/>
      </xdr:nvSpPr>
      <xdr:spPr>
        <a:xfrm>
          <a:off x="6959969" y="1281953"/>
          <a:ext cx="1524561" cy="309282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1"/>
            <a:t>Financijski</a:t>
          </a:r>
          <a:r>
            <a:rPr lang="hr-HR" sz="1400" b="1" baseline="0"/>
            <a:t> tok</a:t>
          </a:r>
          <a:endParaRPr lang="hr-HR" sz="1400" b="1"/>
        </a:p>
      </xdr:txBody>
    </xdr:sp>
    <xdr:clientData/>
  </xdr:twoCellAnchor>
  <xdr:twoCellAnchor editAs="oneCell">
    <xdr:from>
      <xdr:col>7</xdr:col>
      <xdr:colOff>186019</xdr:colOff>
      <xdr:row>2</xdr:row>
      <xdr:rowOff>36419</xdr:rowOff>
    </xdr:from>
    <xdr:to>
      <xdr:col>7</xdr:col>
      <xdr:colOff>513789</xdr:colOff>
      <xdr:row>3</xdr:row>
      <xdr:rowOff>0</xdr:rowOff>
    </xdr:to>
    <xdr:pic>
      <xdr:nvPicPr>
        <xdr:cNvPr id="44" name="Picture 43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710894" y="1284194"/>
          <a:ext cx="327770" cy="30648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7</xdr:col>
      <xdr:colOff>532276</xdr:colOff>
      <xdr:row>2</xdr:row>
      <xdr:rowOff>28575</xdr:rowOff>
    </xdr:from>
    <xdr:to>
      <xdr:col>8</xdr:col>
      <xdr:colOff>705967</xdr:colOff>
      <xdr:row>2</xdr:row>
      <xdr:rowOff>333375</xdr:rowOff>
    </xdr:to>
    <xdr:sp macro="" textlink="">
      <xdr:nvSpPr>
        <xdr:cNvPr id="45" name="Round Same Side Corner Rectangle 44">
          <a:hlinkClick xmlns:r="http://schemas.openxmlformats.org/officeDocument/2006/relationships" r:id="rId15"/>
        </xdr:cNvPr>
        <xdr:cNvSpPr/>
      </xdr:nvSpPr>
      <xdr:spPr>
        <a:xfrm>
          <a:off x="9048747" y="1272428"/>
          <a:ext cx="1103779" cy="304800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1"/>
            <a:t>Sažetak</a:t>
          </a:r>
        </a:p>
      </xdr:txBody>
    </xdr:sp>
    <xdr:clientData/>
  </xdr:twoCellAnchor>
  <xdr:twoCellAnchor>
    <xdr:from>
      <xdr:col>9</xdr:col>
      <xdr:colOff>222993</xdr:colOff>
      <xdr:row>2</xdr:row>
      <xdr:rowOff>26894</xdr:rowOff>
    </xdr:from>
    <xdr:to>
      <xdr:col>10</xdr:col>
      <xdr:colOff>526676</xdr:colOff>
      <xdr:row>2</xdr:row>
      <xdr:rowOff>336176</xdr:rowOff>
    </xdr:to>
    <xdr:sp macro="" textlink="">
      <xdr:nvSpPr>
        <xdr:cNvPr id="47" name="Round Same Side Corner Rectangle 46">
          <a:hlinkClick xmlns:r="http://schemas.openxmlformats.org/officeDocument/2006/relationships" r:id="rId13"/>
        </xdr:cNvPr>
        <xdr:cNvSpPr/>
      </xdr:nvSpPr>
      <xdr:spPr>
        <a:xfrm>
          <a:off x="10678081" y="1270747"/>
          <a:ext cx="1211360" cy="309282"/>
        </a:xfrm>
        <a:prstGeom prst="round2SameRect">
          <a:avLst/>
        </a:prstGeom>
        <a:solidFill>
          <a:srgbClr val="594D41"/>
        </a:solidFill>
        <a:ln>
          <a:solidFill>
            <a:srgbClr val="594D4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1"/>
            <a:t>Baza motora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11206</xdr:rowOff>
    </xdr:from>
    <xdr:to>
      <xdr:col>7</xdr:col>
      <xdr:colOff>11205</xdr:colOff>
      <xdr:row>34</xdr:row>
      <xdr:rowOff>44544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11206</xdr:colOff>
      <xdr:row>27</xdr:row>
      <xdr:rowOff>11205</xdr:rowOff>
    </xdr:from>
    <xdr:to>
      <xdr:col>21</xdr:col>
      <xdr:colOff>22412</xdr:colOff>
      <xdr:row>34</xdr:row>
      <xdr:rowOff>44543</xdr:rowOff>
    </xdr:to>
    <xdr:graphicFrame macro="">
      <xdr:nvGraphicFramePr>
        <xdr:cNvPr id="58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23</xdr:col>
      <xdr:colOff>816428</xdr:colOff>
      <xdr:row>26</xdr:row>
      <xdr:rowOff>122463</xdr:rowOff>
    </xdr:from>
    <xdr:to>
      <xdr:col>25</xdr:col>
      <xdr:colOff>600982</xdr:colOff>
      <xdr:row>34</xdr:row>
      <xdr:rowOff>61894</xdr:rowOff>
    </xdr:to>
    <xdr:pic>
      <xdr:nvPicPr>
        <xdr:cNvPr id="59" name="Picture 5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158357" y="6408963"/>
          <a:ext cx="1455964" cy="1463431"/>
        </a:xfrm>
        <a:prstGeom prst="rect">
          <a:avLst/>
        </a:prstGeom>
      </xdr:spPr>
    </xdr:pic>
    <xdr:clientData/>
  </xdr:twoCellAnchor>
  <xdr:twoCellAnchor editAs="oneCell">
    <xdr:from>
      <xdr:col>23</xdr:col>
      <xdr:colOff>666751</xdr:colOff>
      <xdr:row>6</xdr:row>
      <xdr:rowOff>0</xdr:rowOff>
    </xdr:from>
    <xdr:to>
      <xdr:col>26</xdr:col>
      <xdr:colOff>65769</xdr:colOff>
      <xdr:row>14</xdr:row>
      <xdr:rowOff>146721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A4CD39"/>
            </a:clrFrom>
            <a:clrTo>
              <a:srgbClr val="A4CD39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5185572" y="2092854"/>
          <a:ext cx="1673678" cy="1670721"/>
        </a:xfrm>
        <a:prstGeom prst="rect">
          <a:avLst/>
        </a:prstGeom>
      </xdr:spPr>
    </xdr:pic>
    <xdr:clientData/>
  </xdr:twoCellAnchor>
  <xdr:twoCellAnchor editAs="oneCell">
    <xdr:from>
      <xdr:col>16</xdr:col>
      <xdr:colOff>190500</xdr:colOff>
      <xdr:row>6</xdr:row>
      <xdr:rowOff>0</xdr:rowOff>
    </xdr:from>
    <xdr:to>
      <xdr:col>19</xdr:col>
      <xdr:colOff>297089</xdr:colOff>
      <xdr:row>17</xdr:row>
      <xdr:rowOff>98651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A4CD39"/>
            </a:clrFrom>
            <a:clrTo>
              <a:srgbClr val="A4CD39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0382250" y="2041070"/>
          <a:ext cx="2190750" cy="2194151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381000</xdr:colOff>
      <xdr:row>6</xdr:row>
      <xdr:rowOff>0</xdr:rowOff>
    </xdr:from>
    <xdr:to>
      <xdr:col>12</xdr:col>
      <xdr:colOff>421823</xdr:colOff>
      <xdr:row>16</xdr:row>
      <xdr:rowOff>67519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A4CD39"/>
            </a:clrFrom>
            <a:clrTo>
              <a:srgbClr val="A4CD39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891893" y="1143000"/>
          <a:ext cx="2272394" cy="19725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190502</xdr:colOff>
      <xdr:row>8</xdr:row>
      <xdr:rowOff>0</xdr:rowOff>
    </xdr:from>
    <xdr:to>
      <xdr:col>3</xdr:col>
      <xdr:colOff>550624</xdr:colOff>
      <xdr:row>16</xdr:row>
      <xdr:rowOff>69046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A4CD39"/>
            </a:clrFrom>
            <a:clrTo>
              <a:srgbClr val="A4CD39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802823" y="1524000"/>
          <a:ext cx="1584764" cy="1593046"/>
        </a:xfrm>
        <a:prstGeom prst="rect">
          <a:avLst/>
        </a:prstGeom>
      </xdr:spPr>
    </xdr:pic>
    <xdr:clientData/>
  </xdr:twoCellAnchor>
  <xdr:twoCellAnchor editAs="oneCell">
    <xdr:from>
      <xdr:col>3</xdr:col>
      <xdr:colOff>394607</xdr:colOff>
      <xdr:row>7</xdr:row>
      <xdr:rowOff>121665</xdr:rowOff>
    </xdr:from>
    <xdr:to>
      <xdr:col>6</xdr:col>
      <xdr:colOff>120196</xdr:colOff>
      <xdr:row>15</xdr:row>
      <xdr:rowOff>173240</xdr:rowOff>
    </xdr:to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9">
          <a:clrChange>
            <a:clrFrom>
              <a:srgbClr val="A4CD39"/>
            </a:clrFrom>
            <a:clrTo>
              <a:srgbClr val="A4CD39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2231571" y="1455165"/>
          <a:ext cx="1578429" cy="15755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1171575</xdr:colOff>
      <xdr:row>2</xdr:row>
      <xdr:rowOff>114300</xdr:rowOff>
    </xdr:from>
    <xdr:to>
      <xdr:col>3</xdr:col>
      <xdr:colOff>1</xdr:colOff>
      <xdr:row>5</xdr:row>
      <xdr:rowOff>21395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3575" y="495300"/>
          <a:ext cx="457201" cy="459545"/>
        </a:xfrm>
        <a:prstGeom prst="rect">
          <a:avLst/>
        </a:prstGeom>
      </xdr:spPr>
    </xdr:pic>
    <xdr:clientData/>
  </xdr:twoCellAnchor>
  <xdr:twoCellAnchor editAs="oneCell">
    <xdr:from>
      <xdr:col>2</xdr:col>
      <xdr:colOff>1266825</xdr:colOff>
      <xdr:row>0</xdr:row>
      <xdr:rowOff>114300</xdr:rowOff>
    </xdr:from>
    <xdr:to>
      <xdr:col>2</xdr:col>
      <xdr:colOff>1574213</xdr:colOff>
      <xdr:row>2</xdr:row>
      <xdr:rowOff>48256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28825" y="114300"/>
          <a:ext cx="307388" cy="31495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-Marija/Desktop/IPS_biogas%20tool02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-Marija/Desktop/D%20a%20t%20a%20b%20a%20s%20e/1_I%20P%20S%20__%20database/11_%20TOOLS/BIOGAS_tools/IPS_biogas%20tool/IPS_biogas%20tool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AD_calculation"/>
      <sheetName val="Data validation"/>
    </sheetNames>
    <sheetDataSet>
      <sheetData sheetId="0">
        <row r="11">
          <cell r="B11" t="str">
            <v>logo</v>
          </cell>
        </row>
      </sheetData>
      <sheetData sheetId="1"/>
      <sheetData sheetId="2">
        <row r="3">
          <cell r="X3">
            <v>25</v>
          </cell>
        </row>
        <row r="4">
          <cell r="X4">
            <v>26</v>
          </cell>
        </row>
        <row r="5">
          <cell r="X5">
            <v>27</v>
          </cell>
        </row>
        <row r="6">
          <cell r="X6">
            <v>28</v>
          </cell>
        </row>
        <row r="7">
          <cell r="X7">
            <v>29</v>
          </cell>
        </row>
        <row r="8">
          <cell r="X8">
            <v>30</v>
          </cell>
        </row>
        <row r="9">
          <cell r="X9">
            <v>31</v>
          </cell>
        </row>
        <row r="10">
          <cell r="X10">
            <v>32</v>
          </cell>
        </row>
        <row r="11">
          <cell r="X11">
            <v>33</v>
          </cell>
        </row>
        <row r="12">
          <cell r="X12">
            <v>34</v>
          </cell>
        </row>
        <row r="13">
          <cell r="X13">
            <v>35</v>
          </cell>
        </row>
        <row r="14">
          <cell r="X14">
            <v>36</v>
          </cell>
        </row>
        <row r="15">
          <cell r="X15">
            <v>37</v>
          </cell>
        </row>
        <row r="16">
          <cell r="X16">
            <v>38</v>
          </cell>
        </row>
        <row r="17">
          <cell r="X17">
            <v>39</v>
          </cell>
        </row>
        <row r="18">
          <cell r="X18">
            <v>40</v>
          </cell>
        </row>
        <row r="19">
          <cell r="X19">
            <v>41</v>
          </cell>
        </row>
        <row r="20">
          <cell r="X20">
            <v>42</v>
          </cell>
        </row>
        <row r="21">
          <cell r="X21">
            <v>43</v>
          </cell>
        </row>
        <row r="22">
          <cell r="X22">
            <v>44</v>
          </cell>
        </row>
        <row r="23">
          <cell r="X23">
            <v>45</v>
          </cell>
        </row>
        <row r="24">
          <cell r="X24">
            <v>46</v>
          </cell>
        </row>
        <row r="25">
          <cell r="X25">
            <v>47</v>
          </cell>
        </row>
        <row r="26">
          <cell r="X26">
            <v>48</v>
          </cell>
        </row>
        <row r="27">
          <cell r="X27">
            <v>49</v>
          </cell>
        </row>
        <row r="29">
          <cell r="X29">
            <v>50</v>
          </cell>
        </row>
        <row r="30">
          <cell r="X30">
            <v>51</v>
          </cell>
        </row>
        <row r="31">
          <cell r="X31">
            <v>52</v>
          </cell>
        </row>
        <row r="32">
          <cell r="X32">
            <v>53</v>
          </cell>
        </row>
        <row r="33">
          <cell r="X33">
            <v>54</v>
          </cell>
        </row>
        <row r="34">
          <cell r="X34">
            <v>55</v>
          </cell>
        </row>
        <row r="35">
          <cell r="X35">
            <v>56</v>
          </cell>
        </row>
        <row r="36">
          <cell r="X36">
            <v>57</v>
          </cell>
        </row>
        <row r="37">
          <cell r="X37">
            <v>58</v>
          </cell>
        </row>
        <row r="38">
          <cell r="X38">
            <v>59</v>
          </cell>
        </row>
        <row r="39">
          <cell r="X39">
            <v>60</v>
          </cell>
        </row>
        <row r="40">
          <cell r="X40">
            <v>61</v>
          </cell>
        </row>
        <row r="41">
          <cell r="X41">
            <v>62</v>
          </cell>
        </row>
        <row r="42">
          <cell r="X42">
            <v>63</v>
          </cell>
        </row>
        <row r="43">
          <cell r="X43">
            <v>64</v>
          </cell>
        </row>
        <row r="44">
          <cell r="X44">
            <v>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S_biogas calculation tool"/>
      <sheetName val="Biogas tool menu"/>
      <sheetName val="General information"/>
      <sheetName val="AD_calculation"/>
      <sheetName val="Financial calculation"/>
      <sheetName val="AD project_scheme"/>
      <sheetName val="Data validation"/>
      <sheetName val="Data validation_CHP engines"/>
      <sheetName val="content"/>
    </sheetNames>
    <sheetDataSet>
      <sheetData sheetId="0"/>
      <sheetData sheetId="1"/>
      <sheetData sheetId="2">
        <row r="11">
          <cell r="B11" t="str">
            <v>logo</v>
          </cell>
        </row>
        <row r="33">
          <cell r="H33">
            <v>0</v>
          </cell>
        </row>
      </sheetData>
      <sheetData sheetId="3">
        <row r="49">
          <cell r="E49" t="str">
            <v>EVW 40</v>
          </cell>
        </row>
        <row r="59">
          <cell r="G59">
            <v>19.854999999999997</v>
          </cell>
        </row>
        <row r="72">
          <cell r="F72">
            <v>0.110803324099723</v>
          </cell>
        </row>
        <row r="78">
          <cell r="F78">
            <v>0.2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3:V25"/>
  <sheetViews>
    <sheetView tabSelected="1" zoomScale="85" zoomScaleNormal="85" workbookViewId="0">
      <selection activeCell="H25" sqref="H25"/>
    </sheetView>
  </sheetViews>
  <sheetFormatPr defaultRowHeight="15" x14ac:dyDescent="0.25"/>
  <cols>
    <col min="1" max="16384" width="9.140625" style="28"/>
  </cols>
  <sheetData>
    <row r="3" spans="1:22" ht="15" customHeight="1" x14ac:dyDescent="0.2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2" ht="15" customHeight="1" x14ac:dyDescent="0.25">
      <c r="A4" s="195"/>
      <c r="B4" s="293" t="s">
        <v>366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spans="1:22" ht="15" customHeight="1" x14ac:dyDescent="0.25">
      <c r="A5" s="195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</row>
    <row r="6" spans="1:22" ht="15" customHeight="1" x14ac:dyDescent="0.25">
      <c r="A6" s="195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</row>
    <row r="7" spans="1:22" ht="15" customHeight="1" x14ac:dyDescent="0.25">
      <c r="A7" s="195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</row>
    <row r="8" spans="1:22" ht="15" customHeight="1" x14ac:dyDescent="0.25">
      <c r="A8" s="195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</row>
    <row r="9" spans="1:22" ht="15" customHeight="1" x14ac:dyDescent="0.25">
      <c r="A9" s="195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</row>
    <row r="10" spans="1:22" ht="15" customHeight="1" x14ac:dyDescent="0.25">
      <c r="A10" s="195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</row>
    <row r="11" spans="1:22" x14ac:dyDescent="0.25"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</row>
    <row r="25" spans="12:12" x14ac:dyDescent="0.25">
      <c r="L25"/>
    </row>
  </sheetData>
  <sheetProtection algorithmName="SHA-512" hashValue="06ydKsu3R6B0Tm//PFRkROfzKiYwPCLypnmGUzGxukxcsQUSJZBktE/cWQ0M9iIWKZBFQCYZitHJSxUc8yBXBA==" saltValue="ZPiJNHQBSEwLEPDj1xyx1A==" spinCount="100000" sheet="1" objects="1" scenarios="1" selectLockedCells="1"/>
  <mergeCells count="1">
    <mergeCell ref="B4:V11"/>
  </mergeCells>
  <pageMargins left="0.7" right="0.7" top="0.75" bottom="0.7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S25"/>
  <sheetViews>
    <sheetView zoomScale="85" zoomScaleNormal="85" workbookViewId="0">
      <selection activeCell="F15" sqref="F15"/>
    </sheetView>
  </sheetViews>
  <sheetFormatPr defaultRowHeight="15" x14ac:dyDescent="0.25"/>
  <cols>
    <col min="1" max="1" width="3.7109375" style="219" customWidth="1"/>
    <col min="2" max="12" width="9.140625" style="219"/>
    <col min="13" max="16384" width="9.140625" style="221"/>
  </cols>
  <sheetData>
    <row r="1" spans="2:19" x14ac:dyDescent="0.25">
      <c r="B1" s="220"/>
      <c r="C1" s="220"/>
      <c r="D1" s="220"/>
      <c r="E1" s="220"/>
      <c r="F1" s="220"/>
    </row>
    <row r="2" spans="2:19" ht="27" customHeight="1" x14ac:dyDescent="0.3">
      <c r="B2" s="220"/>
      <c r="C2" s="220"/>
      <c r="D2" s="220"/>
      <c r="E2" s="220"/>
      <c r="F2" s="220"/>
      <c r="M2" s="222"/>
      <c r="N2" s="222"/>
      <c r="O2" s="222"/>
      <c r="P2" s="222"/>
      <c r="Q2" s="222"/>
      <c r="R2" s="222"/>
      <c r="S2" s="222"/>
    </row>
    <row r="3" spans="2:19" ht="17.25" x14ac:dyDescent="0.3">
      <c r="B3" s="220"/>
      <c r="C3" s="295" t="s">
        <v>400</v>
      </c>
      <c r="D3" s="296"/>
      <c r="E3" s="296"/>
      <c r="F3" s="296"/>
      <c r="G3" s="296"/>
      <c r="H3" s="296"/>
      <c r="I3" s="296"/>
      <c r="M3" s="222"/>
      <c r="N3" s="222"/>
      <c r="O3" s="222"/>
      <c r="P3" s="222"/>
      <c r="Q3" s="222"/>
      <c r="R3" s="222"/>
      <c r="S3" s="222"/>
    </row>
    <row r="4" spans="2:19" ht="15" customHeight="1" x14ac:dyDescent="0.25">
      <c r="B4" s="223" t="s">
        <v>367</v>
      </c>
      <c r="C4" s="296"/>
      <c r="D4" s="296"/>
      <c r="E4" s="296"/>
      <c r="F4" s="296"/>
      <c r="G4" s="296"/>
      <c r="H4" s="296"/>
      <c r="I4" s="296"/>
      <c r="J4" s="224"/>
      <c r="K4" s="224"/>
      <c r="M4" s="297"/>
      <c r="N4" s="297"/>
      <c r="O4" s="297"/>
      <c r="P4" s="297"/>
      <c r="Q4" s="297"/>
      <c r="R4" s="297"/>
      <c r="S4" s="297"/>
    </row>
    <row r="5" spans="2:19" ht="15" customHeight="1" x14ac:dyDescent="0.25">
      <c r="B5" s="224"/>
      <c r="C5" s="296"/>
      <c r="D5" s="296"/>
      <c r="E5" s="296"/>
      <c r="F5" s="296"/>
      <c r="G5" s="296"/>
      <c r="H5" s="296"/>
      <c r="I5" s="296"/>
      <c r="J5" s="224"/>
      <c r="K5" s="224"/>
      <c r="M5" s="297"/>
      <c r="N5" s="297"/>
      <c r="O5" s="297"/>
      <c r="P5" s="297"/>
      <c r="Q5" s="297"/>
      <c r="R5" s="297"/>
      <c r="S5" s="297"/>
    </row>
    <row r="6" spans="2:19" ht="39.950000000000003" customHeight="1" x14ac:dyDescent="0.35">
      <c r="B6" s="224"/>
      <c r="C6" s="296"/>
      <c r="D6" s="296"/>
      <c r="E6" s="296"/>
      <c r="F6" s="296"/>
      <c r="G6" s="296"/>
      <c r="H6" s="296"/>
      <c r="I6" s="296"/>
      <c r="J6" s="224"/>
      <c r="K6" s="224"/>
      <c r="M6" s="227"/>
      <c r="N6" s="227"/>
      <c r="O6" s="227"/>
      <c r="P6" s="227"/>
      <c r="Q6" s="227"/>
      <c r="R6" s="227"/>
      <c r="S6" s="227"/>
    </row>
    <row r="7" spans="2:19" ht="15" customHeight="1" x14ac:dyDescent="0.25">
      <c r="B7" s="224"/>
      <c r="C7" s="296"/>
      <c r="D7" s="296"/>
      <c r="E7" s="296"/>
      <c r="F7" s="296"/>
      <c r="G7" s="296"/>
      <c r="H7" s="296"/>
      <c r="I7" s="296"/>
      <c r="J7" s="224"/>
      <c r="K7" s="224"/>
      <c r="M7" s="297"/>
      <c r="N7" s="297"/>
      <c r="O7" s="297"/>
      <c r="P7" s="297"/>
      <c r="Q7" s="297"/>
      <c r="R7" s="297"/>
      <c r="S7" s="297"/>
    </row>
    <row r="8" spans="2:19" ht="15" customHeight="1" x14ac:dyDescent="0.25">
      <c r="B8" s="224"/>
      <c r="C8" s="296"/>
      <c r="D8" s="296"/>
      <c r="E8" s="296"/>
      <c r="F8" s="296"/>
      <c r="G8" s="296"/>
      <c r="H8" s="296"/>
      <c r="I8" s="296"/>
      <c r="J8" s="224"/>
      <c r="K8" s="224"/>
      <c r="M8" s="297"/>
      <c r="N8" s="297"/>
      <c r="O8" s="297"/>
      <c r="P8" s="297"/>
      <c r="Q8" s="297"/>
      <c r="R8" s="297"/>
      <c r="S8" s="297"/>
    </row>
    <row r="9" spans="2:19" ht="39.950000000000003" customHeight="1" x14ac:dyDescent="0.35">
      <c r="B9" s="224"/>
      <c r="C9" s="224"/>
      <c r="D9" s="224"/>
      <c r="E9" s="224"/>
      <c r="F9" s="224"/>
      <c r="G9" s="224"/>
      <c r="H9" s="224"/>
      <c r="I9" s="224"/>
      <c r="J9" s="224"/>
      <c r="K9" s="224"/>
      <c r="M9" s="262"/>
      <c r="N9" s="262"/>
      <c r="O9" s="262"/>
      <c r="P9" s="262"/>
      <c r="Q9" s="262"/>
      <c r="R9" s="262"/>
      <c r="S9" s="262"/>
    </row>
    <row r="10" spans="2:19" ht="15" customHeight="1" x14ac:dyDescent="0.25"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M10" s="297"/>
      <c r="N10" s="297"/>
      <c r="O10" s="297"/>
      <c r="P10" s="297"/>
      <c r="Q10" s="297"/>
      <c r="R10" s="297"/>
      <c r="S10" s="297"/>
    </row>
    <row r="11" spans="2:19" ht="15" customHeight="1" x14ac:dyDescent="0.25"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M11" s="297"/>
      <c r="N11" s="297"/>
      <c r="O11" s="297"/>
      <c r="P11" s="297"/>
      <c r="Q11" s="297"/>
      <c r="R11" s="297"/>
      <c r="S11" s="297"/>
    </row>
    <row r="12" spans="2:19" ht="39.950000000000003" customHeight="1" x14ac:dyDescent="0.35"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M12" s="262"/>
      <c r="N12" s="262"/>
      <c r="O12" s="262"/>
      <c r="P12" s="262"/>
      <c r="Q12" s="262"/>
      <c r="R12" s="262"/>
      <c r="S12" s="262"/>
    </row>
    <row r="13" spans="2:19" ht="15" customHeight="1" x14ac:dyDescent="0.25"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0"/>
      <c r="M13" s="297"/>
      <c r="N13" s="297"/>
      <c r="O13" s="297"/>
      <c r="P13" s="297"/>
      <c r="Q13" s="297"/>
      <c r="R13" s="297"/>
      <c r="S13" s="297"/>
    </row>
    <row r="14" spans="2:19" ht="15" customHeight="1" x14ac:dyDescent="0.25"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0"/>
      <c r="M14" s="297"/>
      <c r="N14" s="297"/>
      <c r="O14" s="297"/>
      <c r="P14" s="297"/>
      <c r="Q14" s="297"/>
      <c r="R14" s="297"/>
      <c r="S14" s="297"/>
    </row>
    <row r="15" spans="2:19" ht="17.25" customHeight="1" x14ac:dyDescent="0.3"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M15" s="222"/>
      <c r="N15" s="222"/>
      <c r="O15" s="222"/>
      <c r="P15" s="222"/>
      <c r="Q15" s="222"/>
      <c r="R15" s="222"/>
      <c r="S15" s="222"/>
    </row>
    <row r="16" spans="2:19" ht="15" customHeight="1" x14ac:dyDescent="0.25"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M16" s="294"/>
      <c r="N16" s="294"/>
      <c r="O16" s="294"/>
      <c r="P16" s="294"/>
      <c r="Q16" s="294"/>
      <c r="R16" s="294"/>
      <c r="S16" s="294"/>
    </row>
    <row r="17" spans="2:19" ht="15" customHeight="1" x14ac:dyDescent="0.25"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M17" s="294"/>
      <c r="N17" s="294"/>
      <c r="O17" s="294"/>
      <c r="P17" s="294"/>
      <c r="Q17" s="294"/>
      <c r="R17" s="294"/>
      <c r="S17" s="294"/>
    </row>
    <row r="18" spans="2:19" ht="17.25" customHeight="1" x14ac:dyDescent="0.3"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M18" s="222"/>
      <c r="N18" s="222"/>
      <c r="O18" s="222"/>
      <c r="P18" s="222"/>
      <c r="Q18" s="222"/>
      <c r="R18" s="222"/>
      <c r="S18" s="222"/>
    </row>
    <row r="19" spans="2:19" ht="15" customHeight="1" x14ac:dyDescent="0.25"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M19" s="294"/>
      <c r="N19" s="294"/>
      <c r="O19" s="294"/>
      <c r="P19" s="294"/>
      <c r="Q19" s="294"/>
      <c r="R19" s="294"/>
      <c r="S19" s="294"/>
    </row>
    <row r="20" spans="2:19" ht="15" customHeight="1" x14ac:dyDescent="0.25"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M20" s="294"/>
      <c r="N20" s="294"/>
      <c r="O20" s="294"/>
      <c r="P20" s="294"/>
      <c r="Q20" s="294"/>
      <c r="R20" s="294"/>
      <c r="S20" s="294"/>
    </row>
    <row r="21" spans="2:19" ht="17.25" customHeight="1" x14ac:dyDescent="0.3"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M21" s="222"/>
      <c r="N21" s="222"/>
      <c r="O21" s="222"/>
      <c r="P21" s="222"/>
      <c r="Q21" s="222"/>
      <c r="R21" s="222"/>
      <c r="S21" s="222"/>
    </row>
    <row r="22" spans="2:19" ht="15" customHeight="1" x14ac:dyDescent="0.25"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M22" s="294"/>
      <c r="N22" s="294"/>
      <c r="O22" s="294"/>
      <c r="P22" s="294"/>
      <c r="Q22" s="294"/>
      <c r="R22" s="294"/>
      <c r="S22" s="294"/>
    </row>
    <row r="23" spans="2:19" ht="15.75" customHeight="1" x14ac:dyDescent="0.25"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M23" s="294"/>
      <c r="N23" s="294"/>
      <c r="O23" s="294"/>
      <c r="P23" s="294"/>
      <c r="Q23" s="294"/>
      <c r="R23" s="294"/>
      <c r="S23" s="294"/>
    </row>
    <row r="24" spans="2:19" ht="15.75" x14ac:dyDescent="0.25">
      <c r="M24" s="38"/>
      <c r="N24" s="38"/>
      <c r="O24" s="38"/>
      <c r="P24" s="38"/>
      <c r="Q24" s="38"/>
      <c r="R24" s="38"/>
      <c r="S24" s="38"/>
    </row>
    <row r="25" spans="2:19" ht="15.75" x14ac:dyDescent="0.25">
      <c r="M25" s="38"/>
      <c r="N25" s="38"/>
      <c r="O25" s="38"/>
      <c r="P25" s="38"/>
      <c r="Q25" s="38"/>
      <c r="R25" s="38"/>
      <c r="S25" s="38"/>
    </row>
  </sheetData>
  <sheetProtection algorithmName="SHA-512" hashValue="q7jv1G0OACG9CumNjCk/AYMI+umX5uYtw9hteeK1Ad7fkFwqpYnq8CAo7PQhX93ykoOiG9B+tBU00SdlARJ44w==" saltValue="zJqcRo3z6mBGbsdjaBsZ5A==" spinCount="100000" sheet="1" objects="1" scenarios="1" selectLockedCells="1"/>
  <mergeCells count="8">
    <mergeCell ref="M19:S20"/>
    <mergeCell ref="M22:S23"/>
    <mergeCell ref="C3:I8"/>
    <mergeCell ref="M4:S5"/>
    <mergeCell ref="M7:S8"/>
    <mergeCell ref="M10:S11"/>
    <mergeCell ref="M13:S14"/>
    <mergeCell ref="M16:S17"/>
  </mergeCells>
  <pageMargins left="0.7" right="0.7" top="0.75" bottom="0.75" header="0.3" footer="0.3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AX94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31" sqref="F31"/>
    </sheetView>
  </sheetViews>
  <sheetFormatPr defaultRowHeight="15" x14ac:dyDescent="0.25"/>
  <cols>
    <col min="1" max="1" width="4.28515625" style="49" customWidth="1"/>
    <col min="2" max="2" width="22" style="73" customWidth="1"/>
    <col min="3" max="3" width="16.5703125" style="73" customWidth="1"/>
    <col min="4" max="4" width="15.42578125" style="73" customWidth="1"/>
    <col min="5" max="5" width="17.28515625" style="73" customWidth="1"/>
    <col min="6" max="6" width="14.5703125" style="73" customWidth="1"/>
    <col min="7" max="7" width="22.42578125" style="73" customWidth="1"/>
    <col min="8" max="8" width="19.7109375" style="73" customWidth="1"/>
    <col min="9" max="9" width="16.140625" style="73" customWidth="1"/>
    <col min="10" max="10" width="15" style="73" customWidth="1"/>
    <col min="11" max="11" width="15.42578125" style="73" customWidth="1"/>
    <col min="12" max="12" width="20" style="73" customWidth="1"/>
    <col min="13" max="13" width="16.85546875" style="73" customWidth="1"/>
    <col min="14" max="14" width="15.5703125" style="73" customWidth="1"/>
    <col min="15" max="15" width="11" style="73" customWidth="1"/>
    <col min="16" max="16" width="11.140625" style="73" customWidth="1"/>
    <col min="17" max="17" width="11.7109375" style="73" customWidth="1"/>
    <col min="18" max="18" width="9.140625" style="73"/>
    <col min="19" max="19" width="11.5703125" style="73" customWidth="1"/>
    <col min="20" max="20" width="9.140625" style="73"/>
    <col min="21" max="21" width="10.28515625" style="73" customWidth="1"/>
    <col min="22" max="22" width="12.5703125" style="73" customWidth="1"/>
    <col min="23" max="23" width="10.42578125" style="73" customWidth="1"/>
    <col min="24" max="24" width="12.140625" style="73" customWidth="1"/>
    <col min="25" max="50" width="9.140625" style="50"/>
    <col min="51" max="16384" width="9.140625" style="73"/>
  </cols>
  <sheetData>
    <row r="1" spans="1:50" s="50" customFormat="1" x14ac:dyDescent="0.25">
      <c r="A1" s="49"/>
    </row>
    <row r="2" spans="1:50" s="50" customFormat="1" ht="83.25" customHeight="1" x14ac:dyDescent="0.25">
      <c r="A2" s="49"/>
      <c r="B2" s="300" t="s">
        <v>401</v>
      </c>
      <c r="C2" s="300"/>
      <c r="D2" s="300"/>
      <c r="E2" s="300"/>
      <c r="F2" s="300"/>
      <c r="G2" s="300"/>
      <c r="H2" s="300"/>
      <c r="I2" s="300"/>
      <c r="J2" s="300"/>
      <c r="K2" s="300"/>
      <c r="L2" s="255"/>
      <c r="M2" s="255"/>
    </row>
    <row r="3" spans="1:50" s="64" customFormat="1" ht="27" customHeight="1" x14ac:dyDescent="0.25">
      <c r="A3" s="254"/>
      <c r="B3" s="299"/>
      <c r="C3" s="299"/>
      <c r="D3" s="258"/>
      <c r="E3" s="298"/>
      <c r="F3" s="298"/>
      <c r="G3" s="258"/>
      <c r="H3" s="259"/>
      <c r="I3" s="258"/>
      <c r="J3" s="299"/>
      <c r="K3" s="299"/>
      <c r="L3" s="260"/>
      <c r="M3" s="261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</row>
    <row r="4" spans="1:50" s="50" customFormat="1" x14ac:dyDescent="0.25">
      <c r="A4" s="49"/>
    </row>
    <row r="5" spans="1:50" s="52" customFormat="1" x14ac:dyDescent="0.25">
      <c r="A5" s="51"/>
      <c r="B5" s="52" t="s">
        <v>172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</row>
    <row r="6" spans="1:50" s="54" customFormat="1" x14ac:dyDescent="0.25">
      <c r="A6" s="49"/>
    </row>
    <row r="7" spans="1:50" s="50" customFormat="1" x14ac:dyDescent="0.25">
      <c r="A7" s="49"/>
      <c r="B7" s="305" t="s">
        <v>20</v>
      </c>
      <c r="C7" s="49" t="s">
        <v>173</v>
      </c>
      <c r="D7" s="196"/>
      <c r="E7" s="304"/>
      <c r="F7" s="304"/>
      <c r="G7" s="304"/>
      <c r="H7" s="196" t="s">
        <v>5</v>
      </c>
      <c r="I7" s="49"/>
    </row>
    <row r="8" spans="1:50" s="50" customFormat="1" x14ac:dyDescent="0.25">
      <c r="A8" s="49"/>
      <c r="B8" s="305"/>
      <c r="C8" s="49" t="s">
        <v>0</v>
      </c>
      <c r="D8" s="208"/>
      <c r="E8" s="304"/>
      <c r="F8" s="304"/>
      <c r="G8" s="304"/>
      <c r="H8" s="49"/>
      <c r="I8" s="49"/>
    </row>
    <row r="9" spans="1:50" s="50" customFormat="1" x14ac:dyDescent="0.25">
      <c r="A9" s="49"/>
      <c r="B9" s="305"/>
      <c r="C9" s="49" t="s">
        <v>174</v>
      </c>
      <c r="D9" s="196"/>
      <c r="E9" s="196" t="s">
        <v>156</v>
      </c>
      <c r="F9" s="304"/>
      <c r="G9" s="304"/>
      <c r="H9" s="304"/>
      <c r="I9" s="49"/>
    </row>
    <row r="10" spans="1:50" s="50" customFormat="1" x14ac:dyDescent="0.25">
      <c r="A10" s="49"/>
      <c r="B10" s="305"/>
      <c r="C10" s="49" t="s">
        <v>1</v>
      </c>
      <c r="D10" s="207"/>
      <c r="E10" s="196"/>
      <c r="F10" s="307"/>
      <c r="G10" s="307"/>
      <c r="H10" s="307"/>
      <c r="I10" s="49"/>
    </row>
    <row r="11" spans="1:50" s="50" customFormat="1" x14ac:dyDescent="0.25">
      <c r="A11" s="49"/>
      <c r="B11" s="305"/>
      <c r="C11" s="49" t="s">
        <v>175</v>
      </c>
      <c r="D11" s="206"/>
      <c r="E11" s="205"/>
      <c r="F11" s="306"/>
      <c r="G11" s="306"/>
      <c r="H11" s="306"/>
      <c r="I11" s="49"/>
    </row>
    <row r="12" spans="1:50" s="50" customFormat="1" x14ac:dyDescent="0.25">
      <c r="A12" s="49"/>
      <c r="B12" s="305"/>
      <c r="C12" s="49" t="s">
        <v>176</v>
      </c>
      <c r="D12" s="206"/>
      <c r="E12" s="197">
        <v>44000</v>
      </c>
      <c r="F12" s="308" t="str">
        <f>VLOOKUP(E12,RH,2,FALSE)</f>
        <v>SISAČKO-MOSLAVAČKA</v>
      </c>
      <c r="G12" s="308"/>
      <c r="H12" s="308"/>
      <c r="I12" s="49"/>
    </row>
    <row r="13" spans="1:50" s="50" customFormat="1" x14ac:dyDescent="0.25">
      <c r="A13" s="49"/>
      <c r="B13" s="305"/>
      <c r="D13" s="49"/>
    </row>
    <row r="14" spans="1:50" s="50" customFormat="1" x14ac:dyDescent="0.25">
      <c r="A14" s="49"/>
      <c r="B14" s="55"/>
    </row>
    <row r="15" spans="1:50" s="52" customFormat="1" x14ac:dyDescent="0.25">
      <c r="A15" s="51"/>
      <c r="B15" s="52" t="s">
        <v>177</v>
      </c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</row>
    <row r="16" spans="1:50" s="54" customFormat="1" x14ac:dyDescent="0.25">
      <c r="A16" s="49"/>
      <c r="B16" s="303"/>
    </row>
    <row r="17" spans="1:14" s="50" customFormat="1" x14ac:dyDescent="0.25">
      <c r="A17" s="49"/>
      <c r="B17" s="304"/>
      <c r="C17" s="50" t="s">
        <v>178</v>
      </c>
      <c r="E17" s="50" t="s">
        <v>179</v>
      </c>
      <c r="F17" s="196" t="s">
        <v>162</v>
      </c>
      <c r="G17" s="50" t="s">
        <v>180</v>
      </c>
      <c r="H17" s="199">
        <v>0</v>
      </c>
    </row>
    <row r="18" spans="1:14" s="50" customFormat="1" x14ac:dyDescent="0.25">
      <c r="A18" s="49"/>
      <c r="B18" s="304"/>
      <c r="H18" s="49"/>
    </row>
    <row r="19" spans="1:14" s="50" customFormat="1" x14ac:dyDescent="0.25">
      <c r="A19" s="49"/>
      <c r="B19" s="304"/>
    </row>
    <row r="20" spans="1:14" s="50" customFormat="1" x14ac:dyDescent="0.25">
      <c r="A20" s="49"/>
      <c r="B20" s="304"/>
      <c r="C20" s="50" t="s">
        <v>181</v>
      </c>
      <c r="E20" s="50" t="s">
        <v>179</v>
      </c>
      <c r="F20" s="200" t="s">
        <v>169</v>
      </c>
      <c r="G20" s="49"/>
      <c r="H20" s="49"/>
    </row>
    <row r="21" spans="1:14" s="50" customFormat="1" x14ac:dyDescent="0.25">
      <c r="A21" s="49"/>
      <c r="B21" s="304"/>
    </row>
    <row r="22" spans="1:14" s="50" customFormat="1" x14ac:dyDescent="0.25">
      <c r="A22" s="49"/>
      <c r="B22" s="304"/>
      <c r="C22" s="50" t="s">
        <v>182</v>
      </c>
    </row>
    <row r="23" spans="1:14" s="50" customFormat="1" x14ac:dyDescent="0.25">
      <c r="A23" s="49"/>
      <c r="B23" s="304"/>
      <c r="E23" s="50" t="s">
        <v>183</v>
      </c>
      <c r="F23" s="198">
        <v>0</v>
      </c>
      <c r="G23" s="57" t="s">
        <v>2</v>
      </c>
    </row>
    <row r="24" spans="1:14" s="50" customFormat="1" x14ac:dyDescent="0.25">
      <c r="A24" s="49"/>
      <c r="B24" s="304"/>
      <c r="E24" s="50" t="s">
        <v>184</v>
      </c>
      <c r="F24" s="201">
        <v>0</v>
      </c>
      <c r="G24" s="57" t="s">
        <v>2</v>
      </c>
    </row>
    <row r="25" spans="1:14" s="50" customFormat="1" x14ac:dyDescent="0.25">
      <c r="A25" s="49"/>
      <c r="B25" s="304"/>
      <c r="E25" s="50" t="s">
        <v>185</v>
      </c>
      <c r="F25" s="58">
        <f>F23-F24</f>
        <v>0</v>
      </c>
      <c r="G25" s="57" t="s">
        <v>2</v>
      </c>
    </row>
    <row r="26" spans="1:14" s="50" customFormat="1" x14ac:dyDescent="0.25">
      <c r="A26" s="49"/>
      <c r="B26" s="304"/>
      <c r="E26" s="50" t="s">
        <v>186</v>
      </c>
      <c r="F26" s="201">
        <v>0</v>
      </c>
      <c r="G26" s="50" t="s">
        <v>187</v>
      </c>
      <c r="H26" s="202">
        <v>0</v>
      </c>
      <c r="I26" s="50" t="s">
        <v>17</v>
      </c>
    </row>
    <row r="27" spans="1:14" s="50" customFormat="1" x14ac:dyDescent="0.25">
      <c r="A27" s="49"/>
      <c r="B27" s="59"/>
      <c r="F27" s="49"/>
      <c r="H27" s="49"/>
    </row>
    <row r="28" spans="1:14" s="50" customFormat="1" x14ac:dyDescent="0.25">
      <c r="A28" s="49"/>
      <c r="B28" s="59"/>
      <c r="C28" s="50" t="s">
        <v>188</v>
      </c>
      <c r="F28" s="49"/>
      <c r="H28" s="49"/>
      <c r="M28" s="88">
        <f>SUM(M30:M32)</f>
        <v>0</v>
      </c>
      <c r="N28" s="60" t="s">
        <v>195</v>
      </c>
    </row>
    <row r="29" spans="1:14" s="50" customFormat="1" x14ac:dyDescent="0.25">
      <c r="A29" s="49"/>
      <c r="B29" s="59"/>
      <c r="F29" s="49"/>
      <c r="G29" s="61" t="s">
        <v>199</v>
      </c>
      <c r="H29" s="89">
        <f>SUM(H30:H31)</f>
        <v>0</v>
      </c>
      <c r="I29" s="60" t="s">
        <v>192</v>
      </c>
      <c r="M29" s="90">
        <f>M28/7.58</f>
        <v>0</v>
      </c>
      <c r="N29" s="62" t="s">
        <v>196</v>
      </c>
    </row>
    <row r="30" spans="1:14" s="50" customFormat="1" x14ac:dyDescent="0.25">
      <c r="A30" s="49"/>
      <c r="B30" s="59"/>
      <c r="C30" s="199">
        <v>0</v>
      </c>
      <c r="D30" s="50" t="s">
        <v>111</v>
      </c>
      <c r="E30" s="50" t="s">
        <v>189</v>
      </c>
      <c r="F30" s="198">
        <v>0</v>
      </c>
      <c r="G30" s="50" t="s">
        <v>198</v>
      </c>
      <c r="H30" s="49">
        <f>F30*12</f>
        <v>0</v>
      </c>
      <c r="I30" s="50" t="s">
        <v>192</v>
      </c>
      <c r="K30" s="50" t="s">
        <v>194</v>
      </c>
      <c r="M30" s="84">
        <f>C30*H30</f>
        <v>0</v>
      </c>
      <c r="N30" s="50" t="s">
        <v>195</v>
      </c>
    </row>
    <row r="31" spans="1:14" s="50" customFormat="1" x14ac:dyDescent="0.25">
      <c r="A31" s="49"/>
      <c r="B31" s="59"/>
      <c r="C31" s="203">
        <v>0</v>
      </c>
      <c r="D31" s="50" t="s">
        <v>111</v>
      </c>
      <c r="E31" s="50" t="s">
        <v>190</v>
      </c>
      <c r="F31" s="198">
        <v>0</v>
      </c>
      <c r="G31" s="50" t="s">
        <v>198</v>
      </c>
      <c r="H31" s="49">
        <f>F31*12</f>
        <v>0</v>
      </c>
      <c r="I31" s="50" t="s">
        <v>192</v>
      </c>
      <c r="K31" s="50" t="s">
        <v>193</v>
      </c>
      <c r="M31" s="84">
        <f>H31*C31</f>
        <v>0</v>
      </c>
      <c r="N31" s="50" t="s">
        <v>195</v>
      </c>
    </row>
    <row r="32" spans="1:14" s="50" customFormat="1" x14ac:dyDescent="0.25">
      <c r="A32" s="49"/>
      <c r="B32" s="59"/>
      <c r="C32" s="199">
        <v>0</v>
      </c>
      <c r="D32" s="50" t="s">
        <v>197</v>
      </c>
      <c r="E32" s="50" t="s">
        <v>191</v>
      </c>
      <c r="F32" s="49"/>
      <c r="H32" s="49"/>
      <c r="M32" s="84">
        <f>C32*12</f>
        <v>0</v>
      </c>
      <c r="N32" s="50" t="s">
        <v>195</v>
      </c>
    </row>
    <row r="33" spans="1:50" s="50" customFormat="1" x14ac:dyDescent="0.25">
      <c r="A33" s="49"/>
      <c r="B33" s="63"/>
      <c r="F33" s="64"/>
      <c r="I33" s="64"/>
    </row>
    <row r="34" spans="1:50" s="52" customFormat="1" x14ac:dyDescent="0.25">
      <c r="A34" s="51"/>
      <c r="B34" s="65" t="s">
        <v>200</v>
      </c>
      <c r="F34" s="66"/>
      <c r="I34" s="66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</row>
    <row r="35" spans="1:50" s="54" customFormat="1" x14ac:dyDescent="0.25">
      <c r="A35" s="49"/>
      <c r="B35" s="67"/>
      <c r="F35" s="68"/>
      <c r="I35" s="68"/>
    </row>
    <row r="36" spans="1:50" s="49" customFormat="1" x14ac:dyDescent="0.25">
      <c r="B36" s="309"/>
      <c r="C36" s="49" t="s">
        <v>201</v>
      </c>
      <c r="E36" s="91">
        <f>VLOOKUP(F17,manure_guidelines,2,FALSE)</f>
        <v>30</v>
      </c>
      <c r="F36" s="69" t="s">
        <v>204</v>
      </c>
      <c r="G36" s="49">
        <f>E36*H17</f>
        <v>0</v>
      </c>
      <c r="H36" s="69" t="s">
        <v>205</v>
      </c>
    </row>
    <row r="37" spans="1:50" s="50" customFormat="1" x14ac:dyDescent="0.25">
      <c r="A37" s="49"/>
      <c r="B37" s="309"/>
      <c r="C37" s="50" t="s">
        <v>202</v>
      </c>
      <c r="E37" s="92">
        <f>'Data validation'!V3</f>
        <v>0.16666666666666666</v>
      </c>
      <c r="F37" s="64"/>
    </row>
    <row r="38" spans="1:50" s="50" customFormat="1" x14ac:dyDescent="0.25">
      <c r="A38" s="49"/>
      <c r="B38" s="309"/>
      <c r="C38" s="50" t="s">
        <v>203</v>
      </c>
      <c r="E38" s="92">
        <f>1-E37</f>
        <v>0.83333333333333337</v>
      </c>
      <c r="F38" s="64"/>
    </row>
    <row r="39" spans="1:50" s="50" customFormat="1" x14ac:dyDescent="0.25">
      <c r="A39" s="49"/>
      <c r="B39" s="309"/>
      <c r="F39" s="64"/>
    </row>
    <row r="40" spans="1:50" s="50" customFormat="1" x14ac:dyDescent="0.25">
      <c r="A40" s="49"/>
      <c r="B40" s="309"/>
      <c r="C40" s="50" t="s">
        <v>206</v>
      </c>
      <c r="E40" s="196">
        <v>0</v>
      </c>
      <c r="F40" s="64" t="s">
        <v>18</v>
      </c>
    </row>
    <row r="41" spans="1:50" s="50" customFormat="1" x14ac:dyDescent="0.25">
      <c r="A41" s="49"/>
      <c r="B41" s="309"/>
      <c r="E41" s="49"/>
      <c r="F41" s="64"/>
    </row>
    <row r="42" spans="1:50" s="50" customFormat="1" x14ac:dyDescent="0.25">
      <c r="A42" s="49"/>
      <c r="B42" s="309"/>
      <c r="C42" s="50" t="s">
        <v>207</v>
      </c>
      <c r="E42" s="198">
        <v>100</v>
      </c>
      <c r="F42" s="64" t="s">
        <v>21</v>
      </c>
      <c r="G42" s="50" t="s">
        <v>160</v>
      </c>
    </row>
    <row r="43" spans="1:50" s="50" customFormat="1" x14ac:dyDescent="0.25">
      <c r="A43" s="49"/>
      <c r="B43" s="309"/>
      <c r="E43" s="58">
        <f>100-E42</f>
        <v>0</v>
      </c>
      <c r="F43" s="64" t="s">
        <v>21</v>
      </c>
      <c r="G43" s="50" t="s">
        <v>161</v>
      </c>
    </row>
    <row r="44" spans="1:50" s="50" customFormat="1" x14ac:dyDescent="0.25">
      <c r="A44" s="49"/>
      <c r="B44" s="309"/>
    </row>
    <row r="45" spans="1:50" s="50" customFormat="1" x14ac:dyDescent="0.25">
      <c r="A45" s="49"/>
      <c r="B45" s="309"/>
      <c r="C45" s="50" t="s">
        <v>208</v>
      </c>
      <c r="E45" s="198">
        <v>0</v>
      </c>
      <c r="F45" s="70" t="s">
        <v>22</v>
      </c>
      <c r="G45" s="56">
        <f>E45*G36</f>
        <v>0</v>
      </c>
      <c r="H45" s="70" t="s">
        <v>209</v>
      </c>
    </row>
    <row r="46" spans="1:50" s="50" customFormat="1" x14ac:dyDescent="0.25">
      <c r="A46" s="49"/>
      <c r="B46" s="309"/>
      <c r="E46" s="58">
        <f>E45*7.58</f>
        <v>0</v>
      </c>
      <c r="F46" s="64" t="s">
        <v>23</v>
      </c>
      <c r="G46" s="58">
        <f>E46*G36</f>
        <v>0</v>
      </c>
      <c r="H46" s="71" t="s">
        <v>210</v>
      </c>
    </row>
    <row r="47" spans="1:50" s="50" customFormat="1" x14ac:dyDescent="0.25">
      <c r="A47" s="49"/>
    </row>
    <row r="48" spans="1:50" s="52" customFormat="1" x14ac:dyDescent="0.25">
      <c r="A48" s="51"/>
      <c r="B48" s="52" t="s">
        <v>211</v>
      </c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</row>
    <row r="49" spans="1:25" s="54" customFormat="1" x14ac:dyDescent="0.25">
      <c r="A49" s="49"/>
    </row>
    <row r="50" spans="1:25" s="49" customFormat="1" x14ac:dyDescent="0.25">
      <c r="B50" s="304"/>
      <c r="C50" s="49" t="s">
        <v>212</v>
      </c>
      <c r="D50" s="72" t="s">
        <v>213</v>
      </c>
      <c r="E50" s="302" t="s">
        <v>33</v>
      </c>
      <c r="F50" s="302"/>
      <c r="G50" s="302" t="s">
        <v>215</v>
      </c>
      <c r="H50" s="302"/>
      <c r="I50" s="302" t="s">
        <v>34</v>
      </c>
      <c r="J50" s="302"/>
      <c r="K50" s="72" t="s">
        <v>216</v>
      </c>
      <c r="L50" s="72"/>
      <c r="M50" s="302" t="s">
        <v>35</v>
      </c>
      <c r="N50" s="302"/>
      <c r="O50" s="302" t="s">
        <v>36</v>
      </c>
      <c r="P50" s="302"/>
      <c r="Q50" s="302" t="s">
        <v>37</v>
      </c>
      <c r="R50" s="302"/>
      <c r="S50" s="302" t="s">
        <v>221</v>
      </c>
      <c r="T50" s="302"/>
      <c r="U50" s="302" t="s">
        <v>222</v>
      </c>
      <c r="V50" s="302"/>
      <c r="W50" s="302" t="s">
        <v>411</v>
      </c>
      <c r="X50" s="302"/>
      <c r="Y50" s="72"/>
    </row>
    <row r="51" spans="1:25" s="49" customFormat="1" x14ac:dyDescent="0.25">
      <c r="B51" s="304"/>
      <c r="D51" s="72" t="s">
        <v>214</v>
      </c>
      <c r="E51" s="72"/>
      <c r="F51" s="72"/>
      <c r="G51" s="72" t="s">
        <v>21</v>
      </c>
      <c r="H51" s="72" t="s">
        <v>214</v>
      </c>
      <c r="I51" s="72" t="s">
        <v>21</v>
      </c>
      <c r="J51" s="72" t="s">
        <v>214</v>
      </c>
      <c r="K51" s="72" t="s">
        <v>217</v>
      </c>
      <c r="L51" s="72" t="s">
        <v>218</v>
      </c>
      <c r="M51" s="72" t="s">
        <v>21</v>
      </c>
      <c r="N51" s="72" t="s">
        <v>219</v>
      </c>
      <c r="O51" s="72" t="s">
        <v>220</v>
      </c>
      <c r="P51" s="72" t="s">
        <v>220</v>
      </c>
      <c r="Q51" s="72" t="s">
        <v>220</v>
      </c>
      <c r="R51" s="72" t="s">
        <v>220</v>
      </c>
      <c r="S51" s="72" t="s">
        <v>220</v>
      </c>
      <c r="T51" s="72" t="s">
        <v>220</v>
      </c>
      <c r="U51" s="72" t="s">
        <v>220</v>
      </c>
      <c r="V51" s="72" t="s">
        <v>224</v>
      </c>
      <c r="W51" s="72" t="s">
        <v>220</v>
      </c>
      <c r="X51" s="72" t="s">
        <v>224</v>
      </c>
      <c r="Y51" s="72"/>
    </row>
    <row r="52" spans="1:25" s="50" customFormat="1" x14ac:dyDescent="0.25">
      <c r="A52" s="49"/>
      <c r="B52" s="304"/>
      <c r="C52" s="50" t="s">
        <v>225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1:25" x14ac:dyDescent="0.25">
      <c r="B53" s="304"/>
      <c r="C53" s="50" t="s">
        <v>226</v>
      </c>
      <c r="D53" s="204">
        <v>0</v>
      </c>
      <c r="E53" s="74">
        <v>7</v>
      </c>
      <c r="F53" s="64">
        <f>E53*D53</f>
        <v>0</v>
      </c>
      <c r="G53" s="75">
        <v>0.09</v>
      </c>
      <c r="H53" s="64">
        <f>D53*G53</f>
        <v>0</v>
      </c>
      <c r="I53" s="75">
        <v>6.6000000000000003E-2</v>
      </c>
      <c r="J53" s="64">
        <f>I53*D53</f>
        <v>0</v>
      </c>
      <c r="K53" s="64">
        <v>15</v>
      </c>
      <c r="L53" s="64">
        <f>K53*D53</f>
        <v>0</v>
      </c>
      <c r="M53" s="76">
        <v>0.7</v>
      </c>
      <c r="N53" s="64">
        <f>M53*L53</f>
        <v>0</v>
      </c>
      <c r="O53" s="64">
        <v>5</v>
      </c>
      <c r="P53" s="64">
        <f>O53*D53</f>
        <v>0</v>
      </c>
      <c r="Q53" s="64">
        <v>1.8</v>
      </c>
      <c r="R53" s="64">
        <f>Q53*D53</f>
        <v>0</v>
      </c>
      <c r="S53" s="64">
        <v>12</v>
      </c>
      <c r="T53" s="64">
        <f>S53*D53</f>
        <v>0</v>
      </c>
      <c r="U53" s="64">
        <v>7</v>
      </c>
      <c r="V53" s="64">
        <f>U53*D53</f>
        <v>0</v>
      </c>
      <c r="W53" s="64">
        <v>0.7</v>
      </c>
      <c r="X53" s="64">
        <f>W53*D53</f>
        <v>0</v>
      </c>
      <c r="Y53" s="64"/>
    </row>
    <row r="54" spans="1:25" x14ac:dyDescent="0.25">
      <c r="B54" s="304"/>
      <c r="C54" s="50" t="s">
        <v>202</v>
      </c>
      <c r="D54" s="204">
        <v>0</v>
      </c>
      <c r="E54" s="74">
        <v>12.2</v>
      </c>
      <c r="F54" s="64">
        <f>E54*D54</f>
        <v>0</v>
      </c>
      <c r="G54" s="75">
        <v>0.23499999999999999</v>
      </c>
      <c r="H54" s="64">
        <f>D54*G54</f>
        <v>0</v>
      </c>
      <c r="I54" s="75">
        <v>0.15</v>
      </c>
      <c r="J54" s="64">
        <f>I54*D54</f>
        <v>0</v>
      </c>
      <c r="K54" s="64">
        <v>100</v>
      </c>
      <c r="L54" s="64">
        <f>D54*K54</f>
        <v>0</v>
      </c>
      <c r="M54" s="76">
        <v>0.57999999999999996</v>
      </c>
      <c r="N54" s="64">
        <f>L54*M54</f>
        <v>0</v>
      </c>
      <c r="O54" s="64">
        <v>6.9</v>
      </c>
      <c r="P54" s="64">
        <f>O54*D54</f>
        <v>0</v>
      </c>
      <c r="Q54" s="64">
        <v>3.8</v>
      </c>
      <c r="R54" s="64">
        <f>Q54*D54</f>
        <v>0</v>
      </c>
      <c r="S54" s="64">
        <v>0</v>
      </c>
      <c r="T54" s="64">
        <f>S54*D54</f>
        <v>0</v>
      </c>
      <c r="U54" s="64">
        <v>0</v>
      </c>
      <c r="V54" s="64">
        <f>U54*D54</f>
        <v>0</v>
      </c>
      <c r="W54" s="64">
        <v>0</v>
      </c>
      <c r="X54" s="64">
        <f>W54*D54</f>
        <v>0</v>
      </c>
      <c r="Y54" s="64"/>
    </row>
    <row r="55" spans="1:25" s="50" customFormat="1" x14ac:dyDescent="0.25">
      <c r="A55" s="49"/>
      <c r="B55" s="304"/>
      <c r="D55" s="47"/>
      <c r="E55" s="74"/>
      <c r="F55" s="64"/>
      <c r="G55" s="75"/>
      <c r="H55" s="64"/>
      <c r="I55" s="75"/>
      <c r="J55" s="64"/>
      <c r="K55" s="64"/>
      <c r="L55" s="64"/>
      <c r="M55" s="76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  <row r="56" spans="1:25" s="50" customFormat="1" x14ac:dyDescent="0.25">
      <c r="A56" s="49"/>
      <c r="B56" s="304"/>
      <c r="C56" s="50" t="s">
        <v>227</v>
      </c>
      <c r="D56" s="47"/>
      <c r="E56" s="74"/>
      <c r="F56" s="64"/>
      <c r="G56" s="75"/>
      <c r="H56" s="64"/>
      <c r="I56" s="75"/>
      <c r="J56" s="64"/>
      <c r="K56" s="64"/>
      <c r="L56" s="64"/>
      <c r="M56" s="76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</row>
    <row r="57" spans="1:25" x14ac:dyDescent="0.25">
      <c r="B57" s="304"/>
      <c r="C57" s="50" t="s">
        <v>226</v>
      </c>
      <c r="D57" s="204">
        <v>0</v>
      </c>
      <c r="E57" s="74">
        <v>3.63</v>
      </c>
      <c r="F57" s="64">
        <f>E57*D57</f>
        <v>0</v>
      </c>
      <c r="G57" s="75">
        <v>5.5E-2</v>
      </c>
      <c r="H57" s="64">
        <f>G57*D57</f>
        <v>0</v>
      </c>
      <c r="I57" s="75">
        <v>3.9E-2</v>
      </c>
      <c r="J57" s="64">
        <f>I57*D57</f>
        <v>0</v>
      </c>
      <c r="K57" s="64">
        <v>10</v>
      </c>
      <c r="L57" s="64">
        <f>K57*D57</f>
        <v>0</v>
      </c>
      <c r="M57" s="76">
        <v>0.71</v>
      </c>
      <c r="N57" s="64">
        <f>M57*L57</f>
        <v>0</v>
      </c>
      <c r="O57" s="64">
        <v>9.1999999999999993</v>
      </c>
      <c r="P57" s="64">
        <f>O57*D57</f>
        <v>0</v>
      </c>
      <c r="Q57" s="64">
        <v>4.9000000000000004</v>
      </c>
      <c r="R57" s="64">
        <f>Q57*D57</f>
        <v>0</v>
      </c>
      <c r="S57" s="64">
        <v>0</v>
      </c>
      <c r="T57" s="64">
        <f>S57*D57</f>
        <v>0</v>
      </c>
      <c r="U57" s="64">
        <v>3.9</v>
      </c>
      <c r="V57" s="64">
        <f>U57*D57</f>
        <v>0</v>
      </c>
      <c r="W57" s="64">
        <v>0.1</v>
      </c>
      <c r="X57" s="64">
        <f>W57*D57</f>
        <v>0</v>
      </c>
      <c r="Y57" s="64"/>
    </row>
    <row r="58" spans="1:25" x14ac:dyDescent="0.25">
      <c r="B58" s="304"/>
      <c r="C58" s="50" t="s">
        <v>202</v>
      </c>
      <c r="D58" s="204">
        <v>0</v>
      </c>
      <c r="E58" s="74">
        <v>10.33</v>
      </c>
      <c r="F58" s="64">
        <f>E58*D58</f>
        <v>0</v>
      </c>
      <c r="G58" s="75">
        <v>0.28899999999999998</v>
      </c>
      <c r="H58" s="64">
        <f>G58*D58</f>
        <v>0</v>
      </c>
      <c r="I58" s="75">
        <v>0.2</v>
      </c>
      <c r="J58" s="64">
        <f>I58*D58</f>
        <v>0</v>
      </c>
      <c r="K58" s="64">
        <v>90</v>
      </c>
      <c r="L58" s="64">
        <f>K58*D58</f>
        <v>0</v>
      </c>
      <c r="M58" s="76">
        <v>0.57999999999999996</v>
      </c>
      <c r="N58" s="64">
        <f>M58*L58</f>
        <v>0</v>
      </c>
      <c r="O58" s="64">
        <v>20</v>
      </c>
      <c r="P58" s="64">
        <f>O58*D58</f>
        <v>0</v>
      </c>
      <c r="Q58" s="64">
        <v>17</v>
      </c>
      <c r="R58" s="64">
        <f>Q58*D58</f>
        <v>0</v>
      </c>
      <c r="S58" s="64">
        <v>12.2</v>
      </c>
      <c r="T58" s="64">
        <f>S58*D58</f>
        <v>0</v>
      </c>
      <c r="U58" s="64">
        <v>7</v>
      </c>
      <c r="V58" s="64">
        <f>U58*D58</f>
        <v>0</v>
      </c>
      <c r="W58" s="64">
        <v>0.7</v>
      </c>
      <c r="X58" s="64">
        <f>W58*D58</f>
        <v>0</v>
      </c>
      <c r="Y58" s="64"/>
    </row>
    <row r="59" spans="1:25" x14ac:dyDescent="0.25">
      <c r="B59" s="304"/>
      <c r="C59" s="50" t="s">
        <v>203</v>
      </c>
      <c r="D59" s="204">
        <v>0</v>
      </c>
      <c r="E59" s="74">
        <v>3.63</v>
      </c>
      <c r="F59" s="64">
        <f>E59*D59</f>
        <v>0</v>
      </c>
      <c r="G59" s="75">
        <v>5.5E-2</v>
      </c>
      <c r="H59" s="64">
        <f>G59*D59</f>
        <v>0</v>
      </c>
      <c r="I59" s="75">
        <v>3.9E-2</v>
      </c>
      <c r="J59" s="64">
        <f>I59*D59</f>
        <v>0</v>
      </c>
      <c r="K59" s="64">
        <v>10</v>
      </c>
      <c r="L59" s="64">
        <f>K59*D59</f>
        <v>0</v>
      </c>
      <c r="M59" s="76">
        <v>0.71</v>
      </c>
      <c r="N59" s="64">
        <f>M59*L59</f>
        <v>0</v>
      </c>
      <c r="O59" s="64">
        <v>9.1999999999999993</v>
      </c>
      <c r="P59" s="64">
        <f>O59*D59</f>
        <v>0</v>
      </c>
      <c r="Q59" s="64">
        <v>4.9000000000000004</v>
      </c>
      <c r="R59" s="64">
        <f>Q59*D59</f>
        <v>0</v>
      </c>
      <c r="S59" s="64">
        <v>0</v>
      </c>
      <c r="T59" s="64">
        <f>S59*D59</f>
        <v>0</v>
      </c>
      <c r="U59" s="64">
        <v>3.9</v>
      </c>
      <c r="V59" s="64">
        <f>U59*D59</f>
        <v>0</v>
      </c>
      <c r="W59" s="64">
        <v>0.1</v>
      </c>
      <c r="X59" s="64">
        <f>W59*D59</f>
        <v>0</v>
      </c>
      <c r="Y59" s="64"/>
    </row>
    <row r="60" spans="1:25" s="50" customFormat="1" x14ac:dyDescent="0.25">
      <c r="A60" s="49"/>
      <c r="B60" s="304"/>
      <c r="D60" s="47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</row>
    <row r="61" spans="1:25" s="50" customFormat="1" x14ac:dyDescent="0.25">
      <c r="A61" s="49"/>
      <c r="B61" s="304"/>
      <c r="C61" s="50" t="s">
        <v>228</v>
      </c>
      <c r="D61" s="284">
        <f>D62+D63</f>
        <v>0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</row>
    <row r="62" spans="1:25" x14ac:dyDescent="0.25">
      <c r="B62" s="304"/>
      <c r="C62" s="50" t="s">
        <v>229</v>
      </c>
      <c r="D62" s="204">
        <v>0</v>
      </c>
      <c r="E62" s="74">
        <v>46.43</v>
      </c>
      <c r="F62" s="64">
        <f>E62*D62</f>
        <v>0</v>
      </c>
      <c r="G62" s="93">
        <v>0.35</v>
      </c>
      <c r="H62" s="64">
        <f>G62*D62</f>
        <v>0</v>
      </c>
      <c r="I62" s="75">
        <v>0.33500000000000002</v>
      </c>
      <c r="J62" s="64">
        <f>I62*D62</f>
        <v>0</v>
      </c>
      <c r="K62" s="64">
        <v>170</v>
      </c>
      <c r="L62" s="64">
        <f>K62*D62</f>
        <v>0</v>
      </c>
      <c r="M62" s="94">
        <v>0.53</v>
      </c>
      <c r="N62" s="64">
        <f>L62*M62</f>
        <v>0</v>
      </c>
      <c r="O62" s="64">
        <v>4</v>
      </c>
      <c r="P62" s="64">
        <f>O62*D62</f>
        <v>0</v>
      </c>
      <c r="Q62" s="64">
        <v>1.5</v>
      </c>
      <c r="R62" s="64">
        <f>Q62*D62</f>
        <v>0</v>
      </c>
      <c r="S62" s="64">
        <v>29.4</v>
      </c>
      <c r="T62" s="64">
        <f>S62*D62</f>
        <v>0</v>
      </c>
      <c r="U62" s="64">
        <v>2.6</v>
      </c>
      <c r="V62" s="64">
        <f>U62*D62</f>
        <v>0</v>
      </c>
      <c r="W62" s="64">
        <v>1.3</v>
      </c>
      <c r="X62" s="64">
        <f>W62*D62</f>
        <v>0</v>
      </c>
    </row>
    <row r="63" spans="1:25" x14ac:dyDescent="0.25">
      <c r="B63" s="304"/>
      <c r="C63" s="50" t="s">
        <v>230</v>
      </c>
      <c r="D63" s="204">
        <v>0</v>
      </c>
      <c r="E63" s="74">
        <v>250</v>
      </c>
      <c r="F63" s="64">
        <f>E63*D63</f>
        <v>0</v>
      </c>
      <c r="G63" s="93">
        <v>0.65</v>
      </c>
      <c r="H63" s="64">
        <f>G63*D63</f>
        <v>0</v>
      </c>
      <c r="I63" s="75">
        <v>0.42799999999999999</v>
      </c>
      <c r="J63" s="64">
        <f>I63*D63</f>
        <v>0</v>
      </c>
      <c r="K63" s="64">
        <v>400</v>
      </c>
      <c r="L63" s="64">
        <f>K63*D63</f>
        <v>0</v>
      </c>
      <c r="M63" s="94">
        <v>0.51</v>
      </c>
      <c r="N63" s="64">
        <f>M63*D63</f>
        <v>0</v>
      </c>
      <c r="O63" s="64">
        <v>2</v>
      </c>
      <c r="P63" s="64">
        <f>O63*D63</f>
        <v>0</v>
      </c>
      <c r="Q63" s="64">
        <v>1</v>
      </c>
      <c r="R63" s="64">
        <f>Q63*D63</f>
        <v>0</v>
      </c>
      <c r="S63" s="64">
        <v>29.4</v>
      </c>
      <c r="T63" s="64">
        <f>S63*D63</f>
        <v>0</v>
      </c>
      <c r="U63" s="64">
        <v>2.6</v>
      </c>
      <c r="V63" s="64">
        <f>U63*D63</f>
        <v>0</v>
      </c>
      <c r="W63" s="64">
        <v>1.3</v>
      </c>
      <c r="X63" s="64">
        <f>W63*D63</f>
        <v>0</v>
      </c>
    </row>
    <row r="64" spans="1:25" s="50" customFormat="1" x14ac:dyDescent="0.25">
      <c r="A64" s="49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1:50" s="52" customFormat="1" x14ac:dyDescent="0.25">
      <c r="A65" s="51"/>
      <c r="B65" s="52" t="s">
        <v>38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</row>
    <row r="66" spans="1:50" s="54" customFormat="1" x14ac:dyDescent="0.25">
      <c r="A66" s="49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</row>
    <row r="67" spans="1:50" s="79" customFormat="1" x14ac:dyDescent="0.25">
      <c r="A67" s="77"/>
      <c r="B67" s="302"/>
      <c r="C67" s="77"/>
      <c r="D67" s="78" t="s">
        <v>213</v>
      </c>
      <c r="E67" s="301" t="s">
        <v>33</v>
      </c>
      <c r="F67" s="301"/>
      <c r="G67" s="301" t="s">
        <v>215</v>
      </c>
      <c r="H67" s="301"/>
      <c r="I67" s="301" t="s">
        <v>34</v>
      </c>
      <c r="J67" s="301"/>
      <c r="K67" s="301" t="s">
        <v>239</v>
      </c>
      <c r="L67" s="301"/>
      <c r="M67" s="301" t="s">
        <v>39</v>
      </c>
      <c r="N67" s="301"/>
      <c r="O67" s="301" t="s">
        <v>36</v>
      </c>
      <c r="P67" s="301"/>
      <c r="Q67" s="301" t="s">
        <v>40</v>
      </c>
      <c r="R67" s="301"/>
      <c r="S67" s="301" t="s">
        <v>221</v>
      </c>
      <c r="T67" s="301"/>
      <c r="U67" s="301" t="s">
        <v>222</v>
      </c>
      <c r="V67" s="301"/>
      <c r="W67" s="301" t="s">
        <v>223</v>
      </c>
      <c r="X67" s="301"/>
      <c r="Y67" s="78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</row>
    <row r="68" spans="1:50" s="49" customFormat="1" x14ac:dyDescent="0.25">
      <c r="B68" s="302"/>
      <c r="D68" s="72" t="s">
        <v>214</v>
      </c>
      <c r="E68" s="72"/>
      <c r="F68" s="72"/>
      <c r="G68" s="72" t="s">
        <v>21</v>
      </c>
      <c r="H68" s="72" t="s">
        <v>214</v>
      </c>
      <c r="I68" s="72" t="s">
        <v>21</v>
      </c>
      <c r="J68" s="72" t="s">
        <v>214</v>
      </c>
      <c r="K68" s="72" t="s">
        <v>217</v>
      </c>
      <c r="L68" s="72" t="s">
        <v>218</v>
      </c>
      <c r="M68" s="72" t="s">
        <v>21</v>
      </c>
      <c r="N68" s="72" t="s">
        <v>219</v>
      </c>
      <c r="O68" s="72" t="s">
        <v>220</v>
      </c>
      <c r="P68" s="72" t="s">
        <v>220</v>
      </c>
      <c r="Q68" s="72" t="s">
        <v>220</v>
      </c>
      <c r="R68" s="72" t="s">
        <v>220</v>
      </c>
      <c r="S68" s="72" t="s">
        <v>220</v>
      </c>
      <c r="T68" s="72" t="s">
        <v>220</v>
      </c>
      <c r="U68" s="72" t="s">
        <v>220</v>
      </c>
      <c r="V68" s="72" t="s">
        <v>224</v>
      </c>
      <c r="W68" s="72" t="s">
        <v>220</v>
      </c>
      <c r="X68" s="72" t="s">
        <v>224</v>
      </c>
      <c r="Y68" s="72"/>
    </row>
    <row r="69" spans="1:50" s="80" customFormat="1" x14ac:dyDescent="0.25">
      <c r="A69" s="49"/>
      <c r="B69" s="302"/>
      <c r="C69" s="50" t="s">
        <v>232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</row>
    <row r="70" spans="1:50" x14ac:dyDescent="0.25">
      <c r="B70" s="302"/>
      <c r="C70" s="53"/>
      <c r="D70" s="95">
        <f>SUM(D52:D59)+SUM(D62:D63)</f>
        <v>0</v>
      </c>
      <c r="E70" s="228" t="e">
        <f>SUM(F53:F63)/D70</f>
        <v>#DIV/0!</v>
      </c>
      <c r="F70" s="64">
        <f>SUM(F53:F54)+SUM(F57:F59)+SUM(F62:F63)</f>
        <v>0</v>
      </c>
      <c r="G70" s="229" t="e">
        <f>H70/D70</f>
        <v>#DIV/0!</v>
      </c>
      <c r="H70" s="64">
        <f>SUM(H53:H63)</f>
        <v>0</v>
      </c>
      <c r="I70" s="94" t="e">
        <f>J70/D70</f>
        <v>#DIV/0!</v>
      </c>
      <c r="J70" s="209">
        <f>SUM(J53:J63)</f>
        <v>0</v>
      </c>
      <c r="K70" s="64" t="e">
        <f>L70/D70</f>
        <v>#DIV/0!</v>
      </c>
      <c r="L70" s="235">
        <f>SUM(L53:L63)</f>
        <v>0</v>
      </c>
      <c r="M70" s="64" t="e">
        <f>N70/D70</f>
        <v>#DIV/0!</v>
      </c>
      <c r="N70" s="235">
        <f>SUM(N53:N63)</f>
        <v>0</v>
      </c>
      <c r="O70" s="64" t="e">
        <f>P70/D70</f>
        <v>#DIV/0!</v>
      </c>
      <c r="P70" s="64">
        <f>SUM(P53:P63)</f>
        <v>0</v>
      </c>
      <c r="Q70" s="64" t="e">
        <f>R70/D70</f>
        <v>#DIV/0!</v>
      </c>
      <c r="R70" s="64">
        <f>SUM(R53:R63)</f>
        <v>0</v>
      </c>
      <c r="S70" s="64" t="e">
        <f>T70/D70</f>
        <v>#DIV/0!</v>
      </c>
      <c r="T70" s="64">
        <f>SUM(T53:T63)</f>
        <v>0</v>
      </c>
      <c r="U70" s="64" t="e">
        <f>V70/D70</f>
        <v>#DIV/0!</v>
      </c>
      <c r="V70" s="64">
        <f>SUM(V53:V63)</f>
        <v>0</v>
      </c>
      <c r="W70" s="64" t="e">
        <f>X70/D70</f>
        <v>#DIV/0!</v>
      </c>
      <c r="X70" s="64">
        <f>SUM(X53:X63)</f>
        <v>0</v>
      </c>
    </row>
    <row r="71" spans="1:50" ht="15.75" thickBot="1" x14ac:dyDescent="0.3">
      <c r="B71" s="302"/>
      <c r="C71" s="50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  <row r="72" spans="1:50" ht="15.75" thickBot="1" x14ac:dyDescent="0.3">
      <c r="B72" s="302"/>
      <c r="C72" s="81" t="s">
        <v>233</v>
      </c>
      <c r="D72" s="230" t="s">
        <v>43</v>
      </c>
      <c r="E72" s="231">
        <v>25</v>
      </c>
      <c r="F72" s="82"/>
      <c r="G72" s="232">
        <v>0.25</v>
      </c>
      <c r="H72" s="64"/>
      <c r="I72" s="64"/>
      <c r="J72" s="64"/>
      <c r="K72" s="64"/>
      <c r="L72" s="236" t="s">
        <v>238</v>
      </c>
      <c r="M72" s="238" t="e">
        <f>N70/L70</f>
        <v>#DIV/0!</v>
      </c>
      <c r="N72" s="237"/>
      <c r="O72" s="64"/>
      <c r="P72" s="64"/>
      <c r="Q72" s="64"/>
      <c r="R72" s="64"/>
      <c r="S72" s="64"/>
      <c r="T72" s="64"/>
      <c r="U72" s="64"/>
      <c r="V72" s="64"/>
      <c r="W72" s="64"/>
      <c r="X72" s="64"/>
    </row>
    <row r="73" spans="1:50" s="50" customFormat="1" x14ac:dyDescent="0.25">
      <c r="A73" s="49"/>
      <c r="B73" s="302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1:50" s="50" customFormat="1" x14ac:dyDescent="0.25">
      <c r="A74" s="49"/>
      <c r="B74" s="302"/>
      <c r="C74" s="50" t="s">
        <v>234</v>
      </c>
    </row>
    <row r="75" spans="1:50" x14ac:dyDescent="0.25">
      <c r="B75" s="50"/>
      <c r="C75" s="50" t="s">
        <v>235</v>
      </c>
      <c r="D75" s="64">
        <f>SUM(D52:D59)</f>
        <v>0</v>
      </c>
      <c r="E75" s="83" t="e">
        <f>D75/D70</f>
        <v>#DIV/0!</v>
      </c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spans="1:50" x14ac:dyDescent="0.25">
      <c r="B76" s="50"/>
      <c r="C76" s="50" t="s">
        <v>236</v>
      </c>
      <c r="D76" s="64">
        <f>SUM(D62:D63)</f>
        <v>0</v>
      </c>
      <c r="E76" s="83" t="e">
        <f>D76/D70</f>
        <v>#DIV/0!</v>
      </c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</row>
    <row r="77" spans="1:50" x14ac:dyDescent="0.25">
      <c r="B77" s="50"/>
      <c r="C77" s="234" t="s">
        <v>237</v>
      </c>
      <c r="D77" s="233" t="e">
        <f>D76/D70</f>
        <v>#DIV/0!</v>
      </c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</row>
    <row r="78" spans="1:50" s="50" customFormat="1" x14ac:dyDescent="0.25">
      <c r="A78" s="49"/>
    </row>
    <row r="79" spans="1:50" s="50" customFormat="1" x14ac:dyDescent="0.25">
      <c r="A79" s="49"/>
    </row>
    <row r="80" spans="1:50" s="50" customFormat="1" x14ac:dyDescent="0.25">
      <c r="A80" s="49"/>
    </row>
    <row r="81" spans="1:5" s="50" customFormat="1" x14ac:dyDescent="0.25">
      <c r="A81" s="49"/>
    </row>
    <row r="82" spans="1:5" s="50" customFormat="1" x14ac:dyDescent="0.25">
      <c r="A82" s="49"/>
      <c r="D82" s="84"/>
      <c r="E82" s="84"/>
    </row>
    <row r="83" spans="1:5" s="50" customFormat="1" x14ac:dyDescent="0.25">
      <c r="A83" s="49"/>
      <c r="D83" s="85"/>
      <c r="E83" s="86"/>
    </row>
    <row r="84" spans="1:5" s="50" customFormat="1" x14ac:dyDescent="0.25">
      <c r="A84" s="49"/>
      <c r="D84" s="87"/>
      <c r="E84" s="87"/>
    </row>
    <row r="85" spans="1:5" s="50" customFormat="1" x14ac:dyDescent="0.25">
      <c r="A85" s="49"/>
    </row>
    <row r="86" spans="1:5" s="50" customFormat="1" x14ac:dyDescent="0.25">
      <c r="A86" s="49"/>
    </row>
    <row r="87" spans="1:5" s="50" customFormat="1" x14ac:dyDescent="0.25">
      <c r="A87" s="49"/>
    </row>
    <row r="88" spans="1:5" s="50" customFormat="1" x14ac:dyDescent="0.25">
      <c r="A88" s="49"/>
    </row>
    <row r="89" spans="1:5" s="50" customFormat="1" x14ac:dyDescent="0.25">
      <c r="A89" s="49"/>
    </row>
    <row r="90" spans="1:5" s="50" customFormat="1" x14ac:dyDescent="0.25">
      <c r="A90" s="49"/>
    </row>
    <row r="91" spans="1:5" s="50" customFormat="1" x14ac:dyDescent="0.25">
      <c r="A91" s="49"/>
    </row>
    <row r="92" spans="1:5" s="50" customFormat="1" x14ac:dyDescent="0.25">
      <c r="A92" s="49"/>
    </row>
    <row r="93" spans="1:5" s="50" customFormat="1" x14ac:dyDescent="0.25">
      <c r="A93" s="49"/>
    </row>
    <row r="94" spans="1:5" s="50" customFormat="1" x14ac:dyDescent="0.25">
      <c r="A94" s="49"/>
    </row>
  </sheetData>
  <sheetProtection algorithmName="SHA-512" hashValue="x/vrwxIwl1JQtToADRFnV5AN0n9auSU6uSSuZKaTupM9NPp4oXtc4TQRnVw2I1ylDMX1PGnmsCtgfXZtp8vBhw==" saltValue="dveQSI17s3mRA/No4ShqjA==" spinCount="100000" sheet="1" selectLockedCells="1"/>
  <mergeCells count="34">
    <mergeCell ref="S50:T50"/>
    <mergeCell ref="U50:V50"/>
    <mergeCell ref="W50:X50"/>
    <mergeCell ref="B36:B46"/>
    <mergeCell ref="E50:F50"/>
    <mergeCell ref="G50:H50"/>
    <mergeCell ref="I50:J50"/>
    <mergeCell ref="M50:N50"/>
    <mergeCell ref="B50:B63"/>
    <mergeCell ref="S67:T67"/>
    <mergeCell ref="U67:V67"/>
    <mergeCell ref="W67:X67"/>
    <mergeCell ref="B67:B74"/>
    <mergeCell ref="K67:L67"/>
    <mergeCell ref="E67:F67"/>
    <mergeCell ref="G67:H67"/>
    <mergeCell ref="I67:J67"/>
    <mergeCell ref="M67:N67"/>
    <mergeCell ref="O67:P67"/>
    <mergeCell ref="E3:F3"/>
    <mergeCell ref="J3:K3"/>
    <mergeCell ref="B3:C3"/>
    <mergeCell ref="B2:K2"/>
    <mergeCell ref="Q67:R67"/>
    <mergeCell ref="O50:P50"/>
    <mergeCell ref="Q50:R50"/>
    <mergeCell ref="B16:B26"/>
    <mergeCell ref="B7:B13"/>
    <mergeCell ref="F11:H11"/>
    <mergeCell ref="E7:G7"/>
    <mergeCell ref="E8:G8"/>
    <mergeCell ref="F9:H9"/>
    <mergeCell ref="F10:H10"/>
    <mergeCell ref="F12:H12"/>
  </mergeCells>
  <dataValidations count="7">
    <dataValidation type="list" allowBlank="1" showInputMessage="1" showErrorMessage="1" promptTitle="..." sqref="H7">
      <formula1>company_name</formula1>
    </dataValidation>
    <dataValidation type="list" allowBlank="1" showInputMessage="1" showErrorMessage="1" sqref="E9">
      <formula1>title</formula1>
    </dataValidation>
    <dataValidation type="list" allowBlank="1" showInputMessage="1" showErrorMessage="1" sqref="E10">
      <formula1>gsm</formula1>
    </dataValidation>
    <dataValidation type="list" allowBlank="1" showInputMessage="1" showErrorMessage="1" sqref="F17:F18">
      <formula1>livestock_type</formula1>
    </dataValidation>
    <dataValidation type="list" allowBlank="1" showInputMessage="1" showErrorMessage="1" sqref="F20">
      <formula1>crop_type</formula1>
    </dataValidation>
    <dataValidation type="list" allowBlank="1" showInputMessage="1" showErrorMessage="1" sqref="G42:G43">
      <formula1>manure_disposal</formula1>
    </dataValidation>
    <dataValidation type="list" allowBlank="1" showInputMessage="1" showErrorMessage="1" sqref="E12">
      <formula1>zip</formula1>
    </dataValidation>
  </dataValidations>
  <pageMargins left="0.7" right="0.7" top="0.75" bottom="0.75" header="0.3" footer="0.3"/>
  <pageSetup paperSize="9" scale="39" fitToHeight="0" orientation="landscape" r:id="rId1"/>
  <headerFooter>
    <oddHeader>&amp;CDRAFT VERSION</oddHeader>
    <oddFooter>&amp;CCONFIDENTIAL</oddFooter>
  </headerFooter>
  <rowBreaks count="1" manualBreakCount="1">
    <brk id="4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AO216"/>
  <sheetViews>
    <sheetView zoomScale="85" zoomScaleNormal="85" zoomScaleSheetLayoutView="2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7" sqref="E37"/>
    </sheetView>
  </sheetViews>
  <sheetFormatPr defaultRowHeight="15" x14ac:dyDescent="0.25"/>
  <cols>
    <col min="1" max="1" width="3.85546875" style="69" customWidth="1"/>
    <col min="2" max="2" width="22" style="97" customWidth="1"/>
    <col min="3" max="3" width="9.140625" style="97"/>
    <col min="4" max="4" width="32" style="97" customWidth="1"/>
    <col min="5" max="5" width="14" style="103" customWidth="1"/>
    <col min="6" max="6" width="9.5703125" style="103" bestFit="1" customWidth="1"/>
    <col min="7" max="7" width="16.7109375" style="103" customWidth="1"/>
    <col min="8" max="8" width="14" style="103" customWidth="1"/>
    <col min="9" max="9" width="20" style="103" customWidth="1"/>
    <col min="10" max="10" width="16.140625" style="103" customWidth="1"/>
    <col min="11" max="11" width="18.28515625" style="103" customWidth="1"/>
    <col min="12" max="12" width="22" style="103" customWidth="1"/>
    <col min="13" max="13" width="25.28515625" style="103" customWidth="1"/>
    <col min="14" max="14" width="19.5703125" style="103" customWidth="1"/>
    <col min="15" max="15" width="17.42578125" style="103" customWidth="1"/>
    <col min="16" max="16" width="14.28515625" style="103" customWidth="1"/>
    <col min="17" max="35" width="9.140625" style="97"/>
    <col min="36" max="16384" width="9.140625" style="103"/>
  </cols>
  <sheetData>
    <row r="1" spans="1:41" s="50" customFormat="1" x14ac:dyDescent="0.25">
      <c r="A1" s="49"/>
    </row>
    <row r="2" spans="1:41" s="50" customFormat="1" ht="83.25" customHeight="1" x14ac:dyDescent="0.25">
      <c r="A2" s="49"/>
      <c r="B2" s="300" t="s">
        <v>401</v>
      </c>
      <c r="C2" s="300"/>
      <c r="D2" s="300"/>
      <c r="E2" s="300"/>
      <c r="F2" s="300"/>
      <c r="G2" s="300"/>
      <c r="H2" s="300"/>
      <c r="I2" s="300"/>
      <c r="J2" s="300"/>
      <c r="K2" s="300"/>
      <c r="L2" s="255"/>
      <c r="M2" s="255"/>
    </row>
    <row r="3" spans="1:41" s="64" customFormat="1" ht="27" customHeight="1" x14ac:dyDescent="0.25">
      <c r="A3" s="254"/>
      <c r="B3" s="299"/>
      <c r="C3" s="299"/>
      <c r="D3" s="258"/>
      <c r="E3" s="298"/>
      <c r="F3" s="298"/>
      <c r="G3" s="258"/>
      <c r="H3" s="259"/>
      <c r="I3" s="258"/>
      <c r="J3" s="299"/>
      <c r="K3" s="299"/>
      <c r="L3" s="260"/>
      <c r="M3" s="261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</row>
    <row r="4" spans="1:41" s="50" customFormat="1" x14ac:dyDescent="0.25">
      <c r="A4" s="49"/>
    </row>
    <row r="5" spans="1:41" s="52" customFormat="1" x14ac:dyDescent="0.25">
      <c r="A5" s="51"/>
      <c r="B5" s="52" t="s">
        <v>240</v>
      </c>
    </row>
    <row r="6" spans="1:41" s="54" customFormat="1" x14ac:dyDescent="0.25">
      <c r="A6" s="49"/>
    </row>
    <row r="7" spans="1:41" s="73" customFormat="1" x14ac:dyDescent="0.25">
      <c r="A7" s="49"/>
      <c r="B7" s="312"/>
      <c r="C7" s="49" t="s">
        <v>173</v>
      </c>
      <c r="D7" s="50"/>
      <c r="E7" s="309">
        <f>'Analiza polj. gospodarstva'!D7</f>
        <v>0</v>
      </c>
      <c r="F7" s="309"/>
      <c r="G7" s="309"/>
      <c r="H7" s="50" t="s">
        <v>4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1" s="73" customFormat="1" x14ac:dyDescent="0.25">
      <c r="A8" s="49"/>
      <c r="B8" s="312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1" s="50" customFormat="1" x14ac:dyDescent="0.25">
      <c r="A9" s="49"/>
      <c r="B9" s="55"/>
    </row>
    <row r="10" spans="1:41" s="96" customFormat="1" x14ac:dyDescent="0.25">
      <c r="A10" s="51"/>
      <c r="B10" s="96" t="s">
        <v>241</v>
      </c>
      <c r="L10" s="96" t="s">
        <v>244</v>
      </c>
    </row>
    <row r="11" spans="1:41" s="97" customFormat="1" x14ac:dyDescent="0.25">
      <c r="A11" s="69"/>
    </row>
    <row r="12" spans="1:41" x14ac:dyDescent="0.25">
      <c r="B12" s="311"/>
      <c r="C12" s="98" t="s">
        <v>245</v>
      </c>
      <c r="D12" s="98"/>
      <c r="E12" s="129">
        <f>'Analiza polj. gospodarstva'!D70</f>
        <v>0</v>
      </c>
      <c r="F12" s="99" t="s">
        <v>231</v>
      </c>
      <c r="G12" s="69"/>
      <c r="H12" s="134">
        <f>E12/E16</f>
        <v>0</v>
      </c>
      <c r="I12" s="100" t="s">
        <v>242</v>
      </c>
      <c r="J12" s="69"/>
      <c r="K12" s="97"/>
      <c r="L12" s="310"/>
      <c r="M12" s="97" t="s">
        <v>256</v>
      </c>
      <c r="N12" s="101">
        <v>1</v>
      </c>
      <c r="O12" s="102"/>
      <c r="P12" s="97"/>
    </row>
    <row r="13" spans="1:41" x14ac:dyDescent="0.25">
      <c r="B13" s="311"/>
      <c r="D13" s="97" t="s">
        <v>246</v>
      </c>
      <c r="E13" s="130">
        <f>SUM('Analiza polj. gospodarstva'!D53:D59)</f>
        <v>0</v>
      </c>
      <c r="F13" s="104" t="s">
        <v>231</v>
      </c>
      <c r="G13" s="69"/>
      <c r="H13" s="69"/>
      <c r="I13" s="69"/>
      <c r="J13" s="69"/>
      <c r="K13" s="97"/>
      <c r="L13" s="310"/>
      <c r="M13" s="97" t="s">
        <v>257</v>
      </c>
      <c r="N13" s="282">
        <f>E21/N12</f>
        <v>0</v>
      </c>
      <c r="O13" s="102" t="s">
        <v>255</v>
      </c>
      <c r="P13" s="97"/>
    </row>
    <row r="14" spans="1:41" x14ac:dyDescent="0.25">
      <c r="B14" s="311"/>
      <c r="D14" s="97" t="s">
        <v>228</v>
      </c>
      <c r="E14" s="130">
        <f>SUM('Analiza polj. gospodarstva'!D61)</f>
        <v>0</v>
      </c>
      <c r="F14" s="104" t="s">
        <v>231</v>
      </c>
      <c r="G14" s="69"/>
      <c r="H14" s="69"/>
      <c r="I14" s="69"/>
      <c r="J14" s="69"/>
      <c r="K14" s="97"/>
      <c r="L14" s="310"/>
      <c r="M14" s="97" t="s">
        <v>138</v>
      </c>
      <c r="N14" s="102">
        <v>5</v>
      </c>
      <c r="O14" s="102" t="s">
        <v>139</v>
      </c>
      <c r="P14" s="97"/>
    </row>
    <row r="15" spans="1:41" x14ac:dyDescent="0.25">
      <c r="B15" s="311"/>
      <c r="C15" s="97" t="s">
        <v>368</v>
      </c>
      <c r="E15" s="210">
        <f>'Analiza polj. gospodarstva'!J70</f>
        <v>0</v>
      </c>
      <c r="F15" s="69" t="s">
        <v>369</v>
      </c>
      <c r="G15" s="69"/>
      <c r="H15" s="69"/>
      <c r="I15" s="69"/>
      <c r="J15" s="69"/>
      <c r="K15" s="97"/>
      <c r="L15" s="310"/>
      <c r="M15" s="97" t="s">
        <v>140</v>
      </c>
      <c r="N15" s="102">
        <f>N14+1</f>
        <v>6</v>
      </c>
      <c r="O15" s="102" t="s">
        <v>139</v>
      </c>
      <c r="P15" s="105" t="s">
        <v>141</v>
      </c>
    </row>
    <row r="16" spans="1:41" x14ac:dyDescent="0.25">
      <c r="B16" s="311"/>
      <c r="C16" s="97" t="s">
        <v>247</v>
      </c>
      <c r="E16" s="131">
        <v>365</v>
      </c>
      <c r="F16" s="106" t="s">
        <v>252</v>
      </c>
      <c r="G16" s="69"/>
      <c r="H16" s="69"/>
      <c r="I16" s="69"/>
      <c r="J16" s="69"/>
      <c r="K16" s="97"/>
      <c r="L16" s="310"/>
      <c r="M16" s="97"/>
      <c r="N16" s="107"/>
      <c r="O16" s="102"/>
      <c r="P16" s="97"/>
    </row>
    <row r="17" spans="1:17" x14ac:dyDescent="0.25">
      <c r="B17" s="311"/>
      <c r="E17" s="97"/>
      <c r="F17" s="97"/>
      <c r="G17" s="97"/>
      <c r="H17" s="97"/>
      <c r="I17" s="97"/>
      <c r="J17" s="97"/>
      <c r="K17" s="97"/>
      <c r="L17" s="310"/>
      <c r="M17" s="239" t="s">
        <v>258</v>
      </c>
      <c r="N17" s="240">
        <f>(((N13/N14)/PI())^(1/2))*2</f>
        <v>0</v>
      </c>
      <c r="O17" s="241" t="s">
        <v>139</v>
      </c>
      <c r="P17" s="97"/>
    </row>
    <row r="18" spans="1:17" x14ac:dyDescent="0.25">
      <c r="B18" s="311"/>
      <c r="C18" s="97" t="s">
        <v>248</v>
      </c>
      <c r="E18" s="97"/>
      <c r="F18" s="97"/>
      <c r="G18" s="97"/>
      <c r="H18" s="97"/>
      <c r="I18" s="97"/>
      <c r="J18" s="97"/>
      <c r="K18" s="97"/>
      <c r="L18" s="310"/>
      <c r="M18" s="97"/>
      <c r="N18" s="97"/>
      <c r="O18" s="97"/>
      <c r="P18" s="97"/>
    </row>
    <row r="19" spans="1:17" x14ac:dyDescent="0.25">
      <c r="B19" s="311"/>
      <c r="D19" s="97" t="s">
        <v>41</v>
      </c>
      <c r="E19" s="292">
        <v>55</v>
      </c>
      <c r="F19" s="108" t="s">
        <v>253</v>
      </c>
      <c r="G19" s="97"/>
      <c r="H19" s="97"/>
      <c r="I19" s="97"/>
      <c r="J19" s="97"/>
      <c r="K19" s="97"/>
      <c r="L19" s="310"/>
      <c r="M19" s="97"/>
      <c r="N19" s="97"/>
      <c r="O19" s="97"/>
      <c r="P19" s="97"/>
    </row>
    <row r="20" spans="1:17" x14ac:dyDescent="0.25">
      <c r="B20" s="311"/>
      <c r="E20" s="97"/>
      <c r="F20" s="97"/>
      <c r="G20" s="97"/>
      <c r="H20" s="97"/>
      <c r="I20" s="97"/>
      <c r="J20" s="97"/>
      <c r="K20" s="97"/>
      <c r="L20" s="310"/>
      <c r="M20" s="97"/>
      <c r="N20" s="97"/>
      <c r="O20" s="97"/>
      <c r="P20" s="97"/>
    </row>
    <row r="21" spans="1:17" x14ac:dyDescent="0.25">
      <c r="B21" s="311"/>
      <c r="C21" s="97" t="s">
        <v>249</v>
      </c>
      <c r="E21" s="132">
        <f>E19*H12</f>
        <v>0</v>
      </c>
      <c r="F21" s="109" t="s">
        <v>254</v>
      </c>
      <c r="G21" s="97"/>
      <c r="H21" s="97"/>
      <c r="I21" s="97"/>
      <c r="J21" s="97"/>
      <c r="K21" s="97"/>
      <c r="L21" s="310"/>
      <c r="M21" s="97"/>
      <c r="N21" s="97"/>
      <c r="O21" s="97"/>
      <c r="P21" s="97"/>
    </row>
    <row r="22" spans="1:17" x14ac:dyDescent="0.25">
      <c r="B22" s="311"/>
      <c r="E22" s="97"/>
      <c r="F22" s="97"/>
      <c r="G22" s="97"/>
      <c r="H22" s="97"/>
      <c r="I22" s="97"/>
      <c r="J22" s="97"/>
      <c r="K22" s="97"/>
      <c r="L22" s="310"/>
      <c r="M22" s="97"/>
      <c r="N22" s="97"/>
      <c r="O22" s="97"/>
      <c r="P22" s="97"/>
    </row>
    <row r="23" spans="1:17" x14ac:dyDescent="0.25">
      <c r="B23" s="311"/>
      <c r="C23" s="97" t="s">
        <v>250</v>
      </c>
      <c r="E23" s="97"/>
      <c r="F23" s="97"/>
      <c r="G23" s="97"/>
      <c r="H23" s="97"/>
      <c r="I23" s="97"/>
      <c r="J23" s="97"/>
      <c r="K23" s="97"/>
      <c r="L23" s="310"/>
      <c r="M23" s="110" t="s">
        <v>259</v>
      </c>
      <c r="N23" s="110"/>
      <c r="O23" s="110"/>
      <c r="P23" s="110"/>
    </row>
    <row r="24" spans="1:17" x14ac:dyDescent="0.25">
      <c r="B24" s="311"/>
      <c r="D24" s="184"/>
      <c r="E24" s="133" t="e">
        <f>(E15*1000)/E16/E21</f>
        <v>#DIV/0!</v>
      </c>
      <c r="F24" s="111" t="s">
        <v>251</v>
      </c>
      <c r="G24" s="97"/>
      <c r="H24" s="112" t="s">
        <v>142</v>
      </c>
      <c r="I24" s="113" t="s">
        <v>243</v>
      </c>
      <c r="J24" s="97"/>
      <c r="K24" s="97"/>
      <c r="L24" s="310"/>
      <c r="M24" s="110"/>
      <c r="N24" s="114">
        <f>N14*E21*E16/1000</f>
        <v>0</v>
      </c>
      <c r="O24" s="115" t="s">
        <v>260</v>
      </c>
      <c r="P24" s="110"/>
    </row>
    <row r="25" spans="1:17" s="97" customFormat="1" x14ac:dyDescent="0.25">
      <c r="A25" s="69"/>
      <c r="B25" s="116"/>
      <c r="L25" s="310"/>
      <c r="M25" s="110"/>
      <c r="N25" s="226" t="e">
        <f>N24/'Analiza polj. gospodarstva'!I70</f>
        <v>#DIV/0!</v>
      </c>
      <c r="O25" s="110" t="s">
        <v>261</v>
      </c>
      <c r="P25" s="110"/>
    </row>
    <row r="26" spans="1:17" s="96" customFormat="1" x14ac:dyDescent="0.25">
      <c r="A26" s="51"/>
      <c r="B26" s="96" t="s">
        <v>262</v>
      </c>
    </row>
    <row r="27" spans="1:17" x14ac:dyDescent="0.25"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  <row r="28" spans="1:17" x14ac:dyDescent="0.25">
      <c r="B28" s="311"/>
      <c r="C28" s="97" t="s">
        <v>263</v>
      </c>
      <c r="E28" s="111">
        <f>'Analiza polj. gospodarstva'!L70</f>
        <v>0</v>
      </c>
      <c r="F28" s="111" t="s">
        <v>265</v>
      </c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1:17" x14ac:dyDescent="0.25">
      <c r="B29" s="311"/>
      <c r="E29" s="111">
        <f>'Analiza polj. gospodarstva'!N70</f>
        <v>0</v>
      </c>
      <c r="F29" s="117" t="s">
        <v>266</v>
      </c>
      <c r="G29" s="97"/>
      <c r="H29" s="97"/>
      <c r="I29" s="97"/>
      <c r="J29" s="97"/>
      <c r="K29" s="97"/>
      <c r="L29" s="97"/>
      <c r="M29" s="110" t="s">
        <v>269</v>
      </c>
      <c r="N29" s="110">
        <v>100</v>
      </c>
      <c r="O29" s="118" t="s">
        <v>143</v>
      </c>
      <c r="P29" s="110">
        <v>36.5</v>
      </c>
      <c r="Q29" s="110" t="s">
        <v>144</v>
      </c>
    </row>
    <row r="30" spans="1:17" x14ac:dyDescent="0.25">
      <c r="B30" s="311"/>
      <c r="E30" s="135">
        <v>0.55000000000000004</v>
      </c>
      <c r="F30" s="119" t="s">
        <v>267</v>
      </c>
      <c r="G30" s="97"/>
      <c r="H30" s="97"/>
      <c r="I30" s="97"/>
      <c r="J30" s="97"/>
      <c r="K30" s="97"/>
      <c r="L30" s="97"/>
      <c r="M30" s="110"/>
      <c r="N30" s="110"/>
      <c r="O30" s="110"/>
      <c r="P30" s="120">
        <f>P29/3.6</f>
        <v>10.138888888888889</v>
      </c>
      <c r="Q30" s="110" t="s">
        <v>145</v>
      </c>
    </row>
    <row r="31" spans="1:17" x14ac:dyDescent="0.25">
      <c r="B31" s="311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</row>
    <row r="32" spans="1:17" x14ac:dyDescent="0.25">
      <c r="B32" s="311"/>
      <c r="C32" s="97" t="s">
        <v>264</v>
      </c>
      <c r="E32" s="136">
        <f>E29*P30/1000</f>
        <v>0</v>
      </c>
      <c r="F32" s="111" t="s">
        <v>268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</row>
    <row r="33" spans="1:16" x14ac:dyDescent="0.25">
      <c r="B33" s="311"/>
      <c r="E33" s="251" t="e">
        <f>E32*1000/E28</f>
        <v>#DIV/0!</v>
      </c>
      <c r="F33" s="136" t="s">
        <v>397</v>
      </c>
      <c r="G33" s="97"/>
      <c r="H33" s="97"/>
      <c r="I33" s="97"/>
      <c r="J33" s="97"/>
      <c r="K33" s="97"/>
      <c r="L33" s="97"/>
      <c r="M33" s="97"/>
      <c r="N33" s="97"/>
      <c r="O33" s="97"/>
      <c r="P33" s="97"/>
    </row>
    <row r="34" spans="1:16" x14ac:dyDescent="0.25">
      <c r="E34" s="251">
        <f>E32*1000/E38</f>
        <v>0</v>
      </c>
      <c r="F34" s="111" t="s">
        <v>398</v>
      </c>
      <c r="G34" s="97"/>
      <c r="H34" s="97"/>
      <c r="I34" s="97"/>
      <c r="J34" s="97"/>
      <c r="K34" s="97"/>
      <c r="L34" s="97"/>
      <c r="M34" s="97"/>
      <c r="N34" s="97"/>
      <c r="O34" s="97"/>
      <c r="P34" s="97"/>
    </row>
    <row r="35" spans="1:16" x14ac:dyDescent="0.25">
      <c r="E35" s="252">
        <f>E34*0.5</f>
        <v>0</v>
      </c>
      <c r="F35" s="253" t="s">
        <v>399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1:16" s="96" customFormat="1" x14ac:dyDescent="0.25">
      <c r="A36" s="51"/>
      <c r="B36" s="96" t="s">
        <v>270</v>
      </c>
    </row>
    <row r="37" spans="1:16" x14ac:dyDescent="0.25">
      <c r="D37" s="184"/>
      <c r="E37" s="242">
        <v>0</v>
      </c>
      <c r="F37" s="97" t="s">
        <v>59</v>
      </c>
      <c r="G37" s="97"/>
      <c r="H37" s="97"/>
      <c r="I37" s="97"/>
      <c r="J37" s="97"/>
      <c r="K37" s="97"/>
      <c r="L37" s="97"/>
      <c r="M37" s="97"/>
      <c r="N37" s="97"/>
      <c r="O37" s="97"/>
      <c r="P37" s="97"/>
    </row>
    <row r="38" spans="1:16" x14ac:dyDescent="0.25">
      <c r="B38" s="311"/>
      <c r="C38" s="97" t="s">
        <v>271</v>
      </c>
      <c r="E38" s="137">
        <v>8000</v>
      </c>
      <c r="F38" s="97" t="s">
        <v>274</v>
      </c>
      <c r="G38" s="97"/>
      <c r="H38" s="289" t="s">
        <v>415</v>
      </c>
      <c r="I38" s="97"/>
      <c r="J38" s="97"/>
      <c r="K38" s="97"/>
      <c r="L38" s="97"/>
      <c r="M38" s="97"/>
      <c r="N38" s="97"/>
      <c r="O38" s="97"/>
      <c r="P38" s="97"/>
    </row>
    <row r="39" spans="1:16" x14ac:dyDescent="0.25">
      <c r="B39" s="311"/>
      <c r="C39" s="97" t="s">
        <v>275</v>
      </c>
      <c r="E39" s="242">
        <v>9</v>
      </c>
      <c r="F39" s="97" t="s">
        <v>146</v>
      </c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1:16" x14ac:dyDescent="0.25">
      <c r="B40" s="311"/>
      <c r="C40" s="97" t="s">
        <v>272</v>
      </c>
      <c r="E40" s="247" t="str">
        <f>VLOOKUP(E39,CHP_brand,2,FALSE)</f>
        <v>STERLING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1:16" x14ac:dyDescent="0.25">
      <c r="B41" s="311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</row>
    <row r="42" spans="1:16" x14ac:dyDescent="0.25">
      <c r="B42" s="311"/>
      <c r="C42" s="97" t="s">
        <v>273</v>
      </c>
      <c r="E42" s="121" t="str">
        <f>E40</f>
        <v>STERLING</v>
      </c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</row>
    <row r="43" spans="1:16" x14ac:dyDescent="0.25">
      <c r="B43" s="311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</row>
    <row r="44" spans="1:16" x14ac:dyDescent="0.25">
      <c r="B44" s="311"/>
      <c r="C44" s="97" t="s">
        <v>276</v>
      </c>
      <c r="E44" s="122" t="s">
        <v>285</v>
      </c>
      <c r="F44" s="97"/>
      <c r="G44" s="97" t="s">
        <v>286</v>
      </c>
      <c r="H44" s="97"/>
      <c r="I44" s="97"/>
      <c r="J44" s="97"/>
      <c r="K44" s="97"/>
      <c r="L44" s="97"/>
      <c r="M44" s="123" t="s">
        <v>286</v>
      </c>
      <c r="N44" s="124">
        <v>0.05</v>
      </c>
      <c r="O44" s="97"/>
      <c r="P44" s="97"/>
    </row>
    <row r="45" spans="1:16" x14ac:dyDescent="0.25">
      <c r="B45" s="311"/>
      <c r="C45" s="313" t="s">
        <v>277</v>
      </c>
      <c r="D45" s="313"/>
      <c r="E45" s="281">
        <f>E39</f>
        <v>9</v>
      </c>
      <c r="F45" s="97" t="s">
        <v>146</v>
      </c>
      <c r="G45" s="139">
        <f>E45</f>
        <v>9</v>
      </c>
      <c r="H45" s="97" t="s">
        <v>146</v>
      </c>
      <c r="I45" s="97"/>
      <c r="J45" s="97"/>
      <c r="K45" s="97"/>
      <c r="L45" s="97"/>
      <c r="M45" s="97"/>
      <c r="N45" s="97"/>
      <c r="O45" s="97"/>
      <c r="P45" s="97"/>
    </row>
    <row r="46" spans="1:16" x14ac:dyDescent="0.25">
      <c r="B46" s="311"/>
      <c r="C46" s="313" t="s">
        <v>278</v>
      </c>
      <c r="D46" s="313"/>
      <c r="E46" s="122">
        <f>E37/E45</f>
        <v>0</v>
      </c>
      <c r="F46" s="97"/>
      <c r="G46" s="140">
        <f>E46</f>
        <v>0</v>
      </c>
      <c r="H46" s="97"/>
      <c r="I46" s="97"/>
      <c r="J46" s="97"/>
      <c r="K46" s="97"/>
      <c r="L46" s="97"/>
      <c r="M46" s="97"/>
      <c r="N46" s="97"/>
      <c r="O46" s="97"/>
      <c r="P46" s="97"/>
    </row>
    <row r="47" spans="1:16" x14ac:dyDescent="0.25">
      <c r="B47" s="311"/>
      <c r="C47" s="313" t="s">
        <v>279</v>
      </c>
      <c r="D47" s="313"/>
      <c r="E47" s="138">
        <f>VLOOKUP(E40,CHP_engine_data,4,FALSE)</f>
        <v>0</v>
      </c>
      <c r="F47" s="125"/>
      <c r="G47" s="138">
        <f>E47*(1-N44)</f>
        <v>0</v>
      </c>
      <c r="H47" s="125"/>
      <c r="I47" s="97"/>
      <c r="J47" s="97"/>
      <c r="K47" s="97"/>
      <c r="L47" s="97"/>
      <c r="M47" s="97"/>
      <c r="N47" s="97"/>
      <c r="O47" s="97"/>
      <c r="P47" s="97"/>
    </row>
    <row r="48" spans="1:16" x14ac:dyDescent="0.25">
      <c r="B48" s="311"/>
      <c r="C48" s="313" t="s">
        <v>280</v>
      </c>
      <c r="D48" s="313"/>
      <c r="E48" s="139" t="e">
        <f>E37/E47</f>
        <v>#DIV/0!</v>
      </c>
      <c r="F48" s="97" t="s">
        <v>146</v>
      </c>
      <c r="G48" s="139">
        <f>G47*E37</f>
        <v>0</v>
      </c>
      <c r="H48" s="97" t="s">
        <v>146</v>
      </c>
      <c r="I48" s="97"/>
      <c r="J48" s="97"/>
      <c r="K48" s="97"/>
      <c r="L48" s="97"/>
      <c r="M48" s="97"/>
      <c r="N48" s="97"/>
      <c r="O48" s="97"/>
      <c r="P48" s="97"/>
    </row>
    <row r="49" spans="1:35" x14ac:dyDescent="0.25">
      <c r="B49" s="311"/>
      <c r="C49" s="313" t="s">
        <v>281</v>
      </c>
      <c r="D49" s="313"/>
      <c r="E49" s="138">
        <f>VLOOKUP(E40,CHP_engine_data,5,FALSE)</f>
        <v>0.28000000000000003</v>
      </c>
      <c r="F49" s="97"/>
      <c r="G49" s="138">
        <f>E49*(1-N44)</f>
        <v>0.26600000000000001</v>
      </c>
      <c r="H49" s="97"/>
      <c r="I49" s="97"/>
      <c r="J49" s="97"/>
      <c r="K49" s="97"/>
      <c r="L49" s="97"/>
      <c r="M49" s="97"/>
      <c r="N49" s="97"/>
      <c r="O49" s="97"/>
      <c r="P49" s="97"/>
    </row>
    <row r="50" spans="1:35" x14ac:dyDescent="0.25">
      <c r="B50" s="311"/>
      <c r="C50" s="313" t="s">
        <v>282</v>
      </c>
      <c r="D50" s="313"/>
      <c r="E50" s="139">
        <f>E37*E49</f>
        <v>0</v>
      </c>
      <c r="F50" s="97" t="s">
        <v>153</v>
      </c>
      <c r="G50" s="139">
        <f>E37*G49</f>
        <v>0</v>
      </c>
      <c r="H50" s="97" t="s">
        <v>153</v>
      </c>
      <c r="I50" s="97"/>
      <c r="J50" s="97"/>
      <c r="K50" s="97"/>
      <c r="L50" s="97"/>
      <c r="M50" s="97"/>
      <c r="N50" s="97"/>
      <c r="O50" s="97"/>
      <c r="P50" s="97"/>
    </row>
    <row r="51" spans="1:35" x14ac:dyDescent="0.25">
      <c r="B51" s="311"/>
      <c r="C51" s="313" t="s">
        <v>283</v>
      </c>
      <c r="D51" s="313"/>
      <c r="E51" s="140">
        <f>VLOOKUP(E40,CHP_engine_data,6,FALSE)</f>
        <v>0.52</v>
      </c>
      <c r="F51" s="97"/>
      <c r="G51" s="138">
        <f>E51*(1-N44)</f>
        <v>0.49399999999999999</v>
      </c>
      <c r="H51" s="97"/>
      <c r="I51" s="97"/>
      <c r="J51" s="97"/>
      <c r="K51" s="97"/>
      <c r="L51" s="97"/>
      <c r="M51" s="97"/>
      <c r="N51" s="97"/>
      <c r="O51" s="97"/>
      <c r="P51" s="97"/>
    </row>
    <row r="52" spans="1:35" x14ac:dyDescent="0.25">
      <c r="B52" s="311"/>
      <c r="C52" s="314" t="s">
        <v>284</v>
      </c>
      <c r="D52" s="313"/>
      <c r="E52" s="97">
        <f>E37*E51</f>
        <v>0</v>
      </c>
      <c r="F52" s="97" t="s">
        <v>154</v>
      </c>
      <c r="G52" s="139">
        <f>E37*G51</f>
        <v>0</v>
      </c>
      <c r="H52" s="97" t="s">
        <v>154</v>
      </c>
      <c r="I52" s="97"/>
      <c r="J52" s="97"/>
      <c r="K52" s="97"/>
      <c r="L52" s="97"/>
      <c r="M52" s="97"/>
      <c r="N52" s="97"/>
      <c r="O52" s="97"/>
      <c r="P52" s="97"/>
    </row>
    <row r="53" spans="1:35" s="97" customFormat="1" x14ac:dyDescent="0.25">
      <c r="A53" s="69"/>
    </row>
    <row r="54" spans="1:35" s="97" customFormat="1" x14ac:dyDescent="0.25">
      <c r="A54" s="69"/>
    </row>
    <row r="55" spans="1:35" s="97" customFormat="1" x14ac:dyDescent="0.25">
      <c r="A55" s="69"/>
      <c r="B55" s="311"/>
      <c r="C55" s="97" t="s">
        <v>287</v>
      </c>
    </row>
    <row r="56" spans="1:35" s="97" customFormat="1" x14ac:dyDescent="0.25">
      <c r="A56" s="69"/>
      <c r="B56" s="311"/>
    </row>
    <row r="57" spans="1:35" x14ac:dyDescent="0.25">
      <c r="B57" s="311"/>
      <c r="D57" s="97" t="s">
        <v>288</v>
      </c>
      <c r="E57" s="212">
        <v>2.5000000000000001E-3</v>
      </c>
      <c r="F57" s="97" t="s">
        <v>289</v>
      </c>
      <c r="G57" s="97"/>
      <c r="H57" s="97"/>
      <c r="I57" s="97"/>
      <c r="J57" s="97"/>
      <c r="K57" s="97"/>
      <c r="L57" s="97"/>
      <c r="M57" s="97"/>
      <c r="N57" s="97"/>
      <c r="O57" s="97"/>
      <c r="P57" s="97"/>
    </row>
    <row r="58" spans="1:35" s="128" customFormat="1" x14ac:dyDescent="0.25">
      <c r="A58" s="126"/>
      <c r="B58" s="311"/>
      <c r="C58" s="127"/>
      <c r="D58" s="127" t="s">
        <v>290</v>
      </c>
      <c r="E58" s="127"/>
      <c r="F58" s="127">
        <v>1</v>
      </c>
      <c r="G58" s="127">
        <v>2</v>
      </c>
      <c r="H58" s="127">
        <v>3</v>
      </c>
      <c r="I58" s="127">
        <v>4</v>
      </c>
      <c r="J58" s="127">
        <v>5</v>
      </c>
      <c r="K58" s="127">
        <v>6</v>
      </c>
      <c r="L58" s="127">
        <v>7</v>
      </c>
      <c r="M58" s="127">
        <v>8</v>
      </c>
      <c r="N58" s="127">
        <v>9</v>
      </c>
      <c r="O58" s="127">
        <v>10</v>
      </c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</row>
    <row r="59" spans="1:35" x14ac:dyDescent="0.25">
      <c r="B59" s="311"/>
      <c r="D59" s="97" t="s">
        <v>370</v>
      </c>
      <c r="E59" s="97" t="s">
        <v>21</v>
      </c>
      <c r="F59" s="140">
        <f>G49</f>
        <v>0.26600000000000001</v>
      </c>
      <c r="G59" s="141">
        <f>F59*(1-$E$57)</f>
        <v>0.26533500000000004</v>
      </c>
      <c r="H59" s="141">
        <f>G59*(1-$E$57)</f>
        <v>0.26467166250000007</v>
      </c>
      <c r="I59" s="141">
        <f t="shared" ref="I59:O59" si="0">H59*(1-$E$57)</f>
        <v>0.26400998334375009</v>
      </c>
      <c r="J59" s="141">
        <f t="shared" si="0"/>
        <v>0.26334995838539071</v>
      </c>
      <c r="K59" s="141">
        <f>J59*(1-$E$57)</f>
        <v>0.26269158348942723</v>
      </c>
      <c r="L59" s="141">
        <f t="shared" si="0"/>
        <v>0.26203485453070369</v>
      </c>
      <c r="M59" s="141">
        <f t="shared" si="0"/>
        <v>0.26137976739437696</v>
      </c>
      <c r="N59" s="141">
        <f t="shared" si="0"/>
        <v>0.26072631797589102</v>
      </c>
      <c r="O59" s="141">
        <f t="shared" si="0"/>
        <v>0.26007450218095129</v>
      </c>
      <c r="P59" s="97"/>
    </row>
    <row r="60" spans="1:35" x14ac:dyDescent="0.25">
      <c r="B60" s="311"/>
      <c r="D60" s="97" t="s">
        <v>291</v>
      </c>
      <c r="E60" s="97" t="s">
        <v>153</v>
      </c>
      <c r="F60" s="142">
        <f>$E$37*F59</f>
        <v>0</v>
      </c>
      <c r="G60" s="142">
        <f t="shared" ref="G60:O60" si="1">$E$37*G59</f>
        <v>0</v>
      </c>
      <c r="H60" s="142">
        <f t="shared" si="1"/>
        <v>0</v>
      </c>
      <c r="I60" s="142">
        <f t="shared" si="1"/>
        <v>0</v>
      </c>
      <c r="J60" s="142">
        <f t="shared" si="1"/>
        <v>0</v>
      </c>
      <c r="K60" s="142">
        <f t="shared" si="1"/>
        <v>0</v>
      </c>
      <c r="L60" s="142">
        <f t="shared" si="1"/>
        <v>0</v>
      </c>
      <c r="M60" s="142">
        <f>$E$37*M59</f>
        <v>0</v>
      </c>
      <c r="N60" s="142">
        <f t="shared" si="1"/>
        <v>0</v>
      </c>
      <c r="O60" s="142">
        <f t="shared" si="1"/>
        <v>0</v>
      </c>
      <c r="P60" s="97"/>
    </row>
    <row r="61" spans="1:35" x14ac:dyDescent="0.25">
      <c r="B61" s="311"/>
      <c r="D61" s="97" t="s">
        <v>292</v>
      </c>
      <c r="E61" s="97" t="s">
        <v>294</v>
      </c>
      <c r="F61" s="143">
        <f>$E$38*F60</f>
        <v>0</v>
      </c>
      <c r="G61" s="143">
        <f>$E$38*G60</f>
        <v>0</v>
      </c>
      <c r="H61" s="143">
        <f t="shared" ref="H61:O61" si="2">$E$38*H60</f>
        <v>0</v>
      </c>
      <c r="I61" s="143">
        <f t="shared" si="2"/>
        <v>0</v>
      </c>
      <c r="J61" s="143">
        <f t="shared" si="2"/>
        <v>0</v>
      </c>
      <c r="K61" s="143">
        <f t="shared" si="2"/>
        <v>0</v>
      </c>
      <c r="L61" s="143">
        <f t="shared" si="2"/>
        <v>0</v>
      </c>
      <c r="M61" s="143">
        <f t="shared" si="2"/>
        <v>0</v>
      </c>
      <c r="N61" s="143">
        <f t="shared" si="2"/>
        <v>0</v>
      </c>
      <c r="O61" s="143">
        <f t="shared" si="2"/>
        <v>0</v>
      </c>
      <c r="P61" s="97"/>
    </row>
    <row r="62" spans="1:35" x14ac:dyDescent="0.25">
      <c r="B62" s="311"/>
      <c r="D62" s="111" t="s">
        <v>293</v>
      </c>
      <c r="E62" s="111" t="s">
        <v>295</v>
      </c>
      <c r="F62" s="132">
        <f>F61-($G$65*1000)-'[2]General information'!$H$33</f>
        <v>-9600</v>
      </c>
      <c r="G62" s="132">
        <f>G61-($G$65*1000)-'[2]General information'!$H$33</f>
        <v>-9600</v>
      </c>
      <c r="H62" s="132">
        <f>H61-($G$65*1000)-'[2]General information'!$H$33</f>
        <v>-9600</v>
      </c>
      <c r="I62" s="132">
        <f>I61-($G$65*1000)-'[2]General information'!$H$33</f>
        <v>-9600</v>
      </c>
      <c r="J62" s="132">
        <f>J61-($G$65*1000)-'[2]General information'!$H$33</f>
        <v>-9600</v>
      </c>
      <c r="K62" s="132">
        <f>K61-($G$65*1000)-'[2]General information'!$H$33</f>
        <v>-9600</v>
      </c>
      <c r="L62" s="132">
        <f>L61-($G$65*1000)-'[2]General information'!$H$33</f>
        <v>-9600</v>
      </c>
      <c r="M62" s="132">
        <f>M61-($G$65*1000)-'[2]General information'!$H$33</f>
        <v>-9600</v>
      </c>
      <c r="N62" s="127"/>
      <c r="O62" s="127"/>
      <c r="P62" s="97"/>
    </row>
    <row r="63" spans="1:35" s="97" customFormat="1" x14ac:dyDescent="0.25">
      <c r="A63" s="69"/>
      <c r="B63" s="311"/>
    </row>
    <row r="64" spans="1:35" s="97" customFormat="1" x14ac:dyDescent="0.25">
      <c r="A64" s="69"/>
      <c r="B64" s="311"/>
      <c r="C64" s="97" t="s">
        <v>296</v>
      </c>
    </row>
    <row r="65" spans="1:17" x14ac:dyDescent="0.25">
      <c r="B65" s="311"/>
      <c r="D65" s="97" t="s">
        <v>297</v>
      </c>
      <c r="E65" s="97"/>
      <c r="F65" s="144" t="e">
        <f>G65/(F61/1000)</f>
        <v>#DIV/0!</v>
      </c>
      <c r="G65" s="121">
        <f>SUM(G66:G68)</f>
        <v>9.6</v>
      </c>
      <c r="H65" s="111" t="s">
        <v>302</v>
      </c>
      <c r="I65" s="97"/>
      <c r="J65" s="97"/>
      <c r="K65" s="97"/>
      <c r="L65" s="97"/>
      <c r="M65" s="97"/>
      <c r="N65" s="97"/>
      <c r="O65" s="97"/>
      <c r="P65" s="97"/>
    </row>
    <row r="66" spans="1:17" x14ac:dyDescent="0.25">
      <c r="B66" s="311"/>
      <c r="D66" s="97" t="s">
        <v>298</v>
      </c>
      <c r="E66" s="97" t="s">
        <v>153</v>
      </c>
      <c r="F66" s="127">
        <v>1.2</v>
      </c>
      <c r="G66" s="127">
        <f>(F66*E38)/1000</f>
        <v>9.6</v>
      </c>
      <c r="H66" s="97" t="s">
        <v>303</v>
      </c>
      <c r="I66" s="97"/>
      <c r="J66" s="97"/>
      <c r="K66" s="97"/>
      <c r="L66" s="97"/>
      <c r="M66" s="97"/>
      <c r="N66" s="97"/>
      <c r="O66" s="97"/>
      <c r="P66" s="97"/>
    </row>
    <row r="67" spans="1:17" x14ac:dyDescent="0.25">
      <c r="B67" s="311"/>
      <c r="D67" s="97" t="s">
        <v>299</v>
      </c>
      <c r="E67" s="97" t="s">
        <v>153</v>
      </c>
      <c r="F67" s="127">
        <v>0</v>
      </c>
      <c r="G67" s="127">
        <f>(F67*E38)/1000</f>
        <v>0</v>
      </c>
      <c r="H67" s="97" t="s">
        <v>303</v>
      </c>
      <c r="I67" s="97"/>
      <c r="J67" s="97"/>
      <c r="K67" s="97"/>
      <c r="L67" s="97"/>
      <c r="M67" s="97"/>
      <c r="N67" s="97"/>
      <c r="O67" s="97"/>
      <c r="P67" s="97"/>
    </row>
    <row r="68" spans="1:17" x14ac:dyDescent="0.25">
      <c r="B68" s="311"/>
      <c r="D68" s="97" t="s">
        <v>300</v>
      </c>
      <c r="E68" s="97" t="s">
        <v>153</v>
      </c>
      <c r="F68" s="278">
        <v>0</v>
      </c>
      <c r="G68" s="127">
        <f>(F68*E38)/1000</f>
        <v>0</v>
      </c>
      <c r="H68" s="97" t="s">
        <v>303</v>
      </c>
      <c r="I68" s="97"/>
      <c r="J68" s="279" t="s">
        <v>412</v>
      </c>
      <c r="K68" s="280"/>
      <c r="L68" s="184"/>
      <c r="M68" s="97"/>
      <c r="N68" s="97"/>
      <c r="O68" s="97"/>
      <c r="P68" s="97"/>
    </row>
    <row r="69" spans="1:17" x14ac:dyDescent="0.25">
      <c r="B69" s="311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</row>
    <row r="70" spans="1:17" x14ac:dyDescent="0.25">
      <c r="B70" s="311"/>
      <c r="C70" s="97" t="s">
        <v>301</v>
      </c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7" x14ac:dyDescent="0.25">
      <c r="B71" s="311"/>
      <c r="D71" s="97" t="s">
        <v>297</v>
      </c>
      <c r="E71" s="97"/>
      <c r="F71" s="144">
        <v>0.2</v>
      </c>
      <c r="G71" s="133">
        <f>(G52*E38)*F71/1000</f>
        <v>0</v>
      </c>
      <c r="H71" s="111" t="s">
        <v>304</v>
      </c>
      <c r="I71" s="97"/>
      <c r="J71" s="97"/>
      <c r="K71" s="97"/>
      <c r="L71" s="97"/>
      <c r="M71" s="97"/>
      <c r="N71" s="97"/>
      <c r="O71" s="97"/>
      <c r="P71" s="97"/>
    </row>
    <row r="72" spans="1:17" s="97" customFormat="1" x14ac:dyDescent="0.25">
      <c r="A72" s="69"/>
      <c r="B72" s="311"/>
    </row>
    <row r="73" spans="1:17" s="97" customFormat="1" x14ac:dyDescent="0.25">
      <c r="A73" s="69"/>
    </row>
    <row r="74" spans="1:17" s="96" customFormat="1" x14ac:dyDescent="0.25">
      <c r="A74" s="51"/>
      <c r="B74" s="96" t="s">
        <v>380</v>
      </c>
    </row>
    <row r="75" spans="1:17" x14ac:dyDescent="0.25"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</row>
    <row r="76" spans="1:17" x14ac:dyDescent="0.25">
      <c r="B76" s="311"/>
      <c r="C76" s="97" t="s">
        <v>382</v>
      </c>
      <c r="E76" s="98" t="s">
        <v>369</v>
      </c>
      <c r="F76" s="98">
        <f>'Analiza polj. gospodarstva'!D70</f>
        <v>0</v>
      </c>
      <c r="G76" s="97"/>
      <c r="H76" s="97"/>
      <c r="I76" s="97"/>
      <c r="J76" s="97"/>
      <c r="K76" s="97"/>
      <c r="L76" s="97"/>
      <c r="M76" s="97"/>
      <c r="N76" s="97"/>
      <c r="O76" s="97"/>
      <c r="P76" s="97"/>
    </row>
    <row r="77" spans="1:17" x14ac:dyDescent="0.25">
      <c r="B77" s="311"/>
      <c r="E77" s="111"/>
      <c r="F77" s="117"/>
      <c r="G77" s="97"/>
      <c r="H77" s="97"/>
      <c r="I77" s="97"/>
      <c r="J77" s="97"/>
      <c r="K77" s="97"/>
      <c r="L77" s="97"/>
      <c r="M77" s="110"/>
      <c r="N77" s="110"/>
      <c r="O77" s="118"/>
      <c r="P77" s="110"/>
      <c r="Q77" s="110"/>
    </row>
    <row r="78" spans="1:17" x14ac:dyDescent="0.25">
      <c r="B78" s="311"/>
      <c r="C78" s="111" t="s">
        <v>381</v>
      </c>
      <c r="D78" s="111"/>
      <c r="E78" s="136" t="s">
        <v>231</v>
      </c>
      <c r="F78" s="148">
        <f>(1-10%)*F76</f>
        <v>0</v>
      </c>
      <c r="G78" s="97"/>
      <c r="H78" s="97"/>
      <c r="I78" s="97"/>
      <c r="J78" s="97"/>
      <c r="K78" s="97"/>
      <c r="L78" s="97"/>
      <c r="M78" s="110"/>
      <c r="N78" s="110"/>
      <c r="O78" s="110"/>
      <c r="P78" s="120"/>
      <c r="Q78" s="110"/>
    </row>
    <row r="79" spans="1:17" x14ac:dyDescent="0.25">
      <c r="B79" s="311"/>
      <c r="C79" s="97" t="s">
        <v>202</v>
      </c>
      <c r="E79" s="216" t="s">
        <v>231</v>
      </c>
      <c r="F79" s="217">
        <f>0.15*F78</f>
        <v>0</v>
      </c>
      <c r="G79" s="97"/>
      <c r="H79" s="97"/>
      <c r="I79" s="97"/>
      <c r="J79" s="97"/>
      <c r="K79" s="97"/>
      <c r="L79" s="97"/>
      <c r="M79" s="97"/>
      <c r="N79" s="97"/>
      <c r="O79" s="97"/>
      <c r="P79" s="97"/>
    </row>
    <row r="80" spans="1:17" x14ac:dyDescent="0.25">
      <c r="B80" s="311"/>
      <c r="C80" s="97" t="s">
        <v>203</v>
      </c>
      <c r="E80" s="215" t="s">
        <v>369</v>
      </c>
      <c r="F80" s="218">
        <f>F78-F79</f>
        <v>0</v>
      </c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1:16" x14ac:dyDescent="0.25">
      <c r="B81" s="311"/>
      <c r="E81" s="97"/>
      <c r="F81" s="211"/>
      <c r="G81" s="97"/>
      <c r="H81" s="97"/>
      <c r="I81" s="97"/>
      <c r="J81" s="97"/>
      <c r="K81" s="97"/>
      <c r="L81" s="97"/>
      <c r="M81" s="97"/>
      <c r="N81" s="97"/>
      <c r="O81" s="97"/>
      <c r="P81" s="97"/>
    </row>
    <row r="82" spans="1:16" s="97" customFormat="1" x14ac:dyDescent="0.25">
      <c r="A82" s="69"/>
    </row>
    <row r="83" spans="1:16" s="97" customFormat="1" x14ac:dyDescent="0.25">
      <c r="A83" s="69"/>
    </row>
    <row r="84" spans="1:16" s="97" customFormat="1" x14ac:dyDescent="0.25">
      <c r="A84" s="69"/>
    </row>
    <row r="85" spans="1:16" s="97" customFormat="1" x14ac:dyDescent="0.25">
      <c r="A85" s="69"/>
    </row>
    <row r="86" spans="1:16" s="97" customFormat="1" x14ac:dyDescent="0.25">
      <c r="A86" s="69"/>
    </row>
    <row r="87" spans="1:16" s="97" customFormat="1" x14ac:dyDescent="0.25">
      <c r="A87" s="69"/>
    </row>
    <row r="88" spans="1:16" s="97" customFormat="1" x14ac:dyDescent="0.25">
      <c r="A88" s="69"/>
    </row>
    <row r="89" spans="1:16" s="97" customFormat="1" x14ac:dyDescent="0.25">
      <c r="A89" s="69"/>
    </row>
    <row r="90" spans="1:16" s="97" customFormat="1" x14ac:dyDescent="0.25">
      <c r="A90" s="69"/>
    </row>
    <row r="91" spans="1:16" s="97" customFormat="1" x14ac:dyDescent="0.25">
      <c r="A91" s="69"/>
    </row>
    <row r="92" spans="1:16" s="97" customFormat="1" x14ac:dyDescent="0.25">
      <c r="A92" s="69"/>
    </row>
    <row r="93" spans="1:16" s="97" customFormat="1" x14ac:dyDescent="0.25">
      <c r="A93" s="69"/>
    </row>
    <row r="94" spans="1:16" s="97" customFormat="1" x14ac:dyDescent="0.25">
      <c r="A94" s="69"/>
    </row>
    <row r="95" spans="1:16" s="97" customFormat="1" x14ac:dyDescent="0.25">
      <c r="A95" s="69"/>
    </row>
    <row r="96" spans="1:16" s="97" customFormat="1" x14ac:dyDescent="0.25">
      <c r="A96" s="69"/>
    </row>
    <row r="97" spans="1:1" s="97" customFormat="1" x14ac:dyDescent="0.25">
      <c r="A97" s="69"/>
    </row>
    <row r="98" spans="1:1" s="97" customFormat="1" x14ac:dyDescent="0.25">
      <c r="A98" s="69"/>
    </row>
    <row r="99" spans="1:1" s="97" customFormat="1" x14ac:dyDescent="0.25">
      <c r="A99" s="69"/>
    </row>
    <row r="100" spans="1:1" s="97" customFormat="1" x14ac:dyDescent="0.25">
      <c r="A100" s="69"/>
    </row>
    <row r="101" spans="1:1" s="97" customFormat="1" x14ac:dyDescent="0.25">
      <c r="A101" s="69"/>
    </row>
    <row r="102" spans="1:1" s="97" customFormat="1" x14ac:dyDescent="0.25">
      <c r="A102" s="69"/>
    </row>
    <row r="103" spans="1:1" s="97" customFormat="1" x14ac:dyDescent="0.25">
      <c r="A103" s="69"/>
    </row>
    <row r="104" spans="1:1" s="97" customFormat="1" x14ac:dyDescent="0.25">
      <c r="A104" s="69"/>
    </row>
    <row r="105" spans="1:1" s="97" customFormat="1" x14ac:dyDescent="0.25">
      <c r="A105" s="69"/>
    </row>
    <row r="106" spans="1:1" s="97" customFormat="1" x14ac:dyDescent="0.25">
      <c r="A106" s="69"/>
    </row>
    <row r="107" spans="1:1" s="97" customFormat="1" x14ac:dyDescent="0.25">
      <c r="A107" s="69"/>
    </row>
    <row r="108" spans="1:1" s="97" customFormat="1" x14ac:dyDescent="0.25">
      <c r="A108" s="69"/>
    </row>
    <row r="109" spans="1:1" s="97" customFormat="1" x14ac:dyDescent="0.25">
      <c r="A109" s="69"/>
    </row>
    <row r="110" spans="1:1" s="97" customFormat="1" x14ac:dyDescent="0.25">
      <c r="A110" s="69"/>
    </row>
    <row r="111" spans="1:1" s="97" customFormat="1" x14ac:dyDescent="0.25">
      <c r="A111" s="69"/>
    </row>
    <row r="112" spans="1:1" s="97" customFormat="1" x14ac:dyDescent="0.25">
      <c r="A112" s="69"/>
    </row>
    <row r="113" spans="1:1" s="97" customFormat="1" x14ac:dyDescent="0.25">
      <c r="A113" s="69"/>
    </row>
    <row r="114" spans="1:1" s="97" customFormat="1" x14ac:dyDescent="0.25">
      <c r="A114" s="69"/>
    </row>
    <row r="115" spans="1:1" s="97" customFormat="1" x14ac:dyDescent="0.25">
      <c r="A115" s="69"/>
    </row>
    <row r="116" spans="1:1" s="97" customFormat="1" x14ac:dyDescent="0.25">
      <c r="A116" s="69"/>
    </row>
    <row r="117" spans="1:1" s="97" customFormat="1" x14ac:dyDescent="0.25">
      <c r="A117" s="69"/>
    </row>
    <row r="118" spans="1:1" s="97" customFormat="1" x14ac:dyDescent="0.25">
      <c r="A118" s="69"/>
    </row>
    <row r="119" spans="1:1" s="97" customFormat="1" x14ac:dyDescent="0.25">
      <c r="A119" s="69"/>
    </row>
    <row r="120" spans="1:1" s="97" customFormat="1" x14ac:dyDescent="0.25">
      <c r="A120" s="69"/>
    </row>
    <row r="121" spans="1:1" s="97" customFormat="1" x14ac:dyDescent="0.25">
      <c r="A121" s="69"/>
    </row>
    <row r="122" spans="1:1" s="97" customFormat="1" x14ac:dyDescent="0.25">
      <c r="A122" s="69"/>
    </row>
    <row r="123" spans="1:1" s="97" customFormat="1" x14ac:dyDescent="0.25">
      <c r="A123" s="69"/>
    </row>
    <row r="124" spans="1:1" s="97" customFormat="1" x14ac:dyDescent="0.25">
      <c r="A124" s="69"/>
    </row>
    <row r="125" spans="1:1" s="97" customFormat="1" x14ac:dyDescent="0.25">
      <c r="A125" s="69"/>
    </row>
    <row r="126" spans="1:1" s="97" customFormat="1" x14ac:dyDescent="0.25">
      <c r="A126" s="69"/>
    </row>
    <row r="127" spans="1:1" s="97" customFormat="1" x14ac:dyDescent="0.25">
      <c r="A127" s="69"/>
    </row>
    <row r="128" spans="1:1" s="97" customFormat="1" x14ac:dyDescent="0.25">
      <c r="A128" s="69"/>
    </row>
    <row r="129" spans="1:1" s="97" customFormat="1" x14ac:dyDescent="0.25">
      <c r="A129" s="69"/>
    </row>
    <row r="130" spans="1:1" s="97" customFormat="1" x14ac:dyDescent="0.25">
      <c r="A130" s="69"/>
    </row>
    <row r="131" spans="1:1" s="97" customFormat="1" x14ac:dyDescent="0.25">
      <c r="A131" s="69"/>
    </row>
    <row r="132" spans="1:1" s="97" customFormat="1" x14ac:dyDescent="0.25">
      <c r="A132" s="69"/>
    </row>
    <row r="133" spans="1:1" s="97" customFormat="1" x14ac:dyDescent="0.25">
      <c r="A133" s="69"/>
    </row>
    <row r="134" spans="1:1" s="97" customFormat="1" x14ac:dyDescent="0.25">
      <c r="A134" s="69"/>
    </row>
    <row r="135" spans="1:1" s="97" customFormat="1" x14ac:dyDescent="0.25">
      <c r="A135" s="69"/>
    </row>
    <row r="136" spans="1:1" s="97" customFormat="1" x14ac:dyDescent="0.25">
      <c r="A136" s="69"/>
    </row>
    <row r="137" spans="1:1" s="97" customFormat="1" x14ac:dyDescent="0.25">
      <c r="A137" s="69"/>
    </row>
    <row r="138" spans="1:1" s="97" customFormat="1" x14ac:dyDescent="0.25">
      <c r="A138" s="69"/>
    </row>
    <row r="139" spans="1:1" s="97" customFormat="1" x14ac:dyDescent="0.25">
      <c r="A139" s="69"/>
    </row>
    <row r="140" spans="1:1" s="97" customFormat="1" x14ac:dyDescent="0.25">
      <c r="A140" s="69"/>
    </row>
    <row r="141" spans="1:1" s="97" customFormat="1" x14ac:dyDescent="0.25">
      <c r="A141" s="69"/>
    </row>
    <row r="142" spans="1:1" s="97" customFormat="1" x14ac:dyDescent="0.25">
      <c r="A142" s="69"/>
    </row>
    <row r="143" spans="1:1" s="97" customFormat="1" x14ac:dyDescent="0.25">
      <c r="A143" s="69"/>
    </row>
    <row r="144" spans="1:1" s="97" customFormat="1" x14ac:dyDescent="0.25">
      <c r="A144" s="69"/>
    </row>
    <row r="145" spans="1:1" s="97" customFormat="1" x14ac:dyDescent="0.25">
      <c r="A145" s="69"/>
    </row>
    <row r="146" spans="1:1" s="97" customFormat="1" x14ac:dyDescent="0.25">
      <c r="A146" s="69"/>
    </row>
    <row r="147" spans="1:1" s="97" customFormat="1" x14ac:dyDescent="0.25">
      <c r="A147" s="69"/>
    </row>
    <row r="148" spans="1:1" s="97" customFormat="1" x14ac:dyDescent="0.25">
      <c r="A148" s="69"/>
    </row>
    <row r="149" spans="1:1" s="97" customFormat="1" x14ac:dyDescent="0.25">
      <c r="A149" s="69"/>
    </row>
    <row r="150" spans="1:1" s="97" customFormat="1" x14ac:dyDescent="0.25">
      <c r="A150" s="69"/>
    </row>
    <row r="151" spans="1:1" s="97" customFormat="1" x14ac:dyDescent="0.25">
      <c r="A151" s="69"/>
    </row>
    <row r="152" spans="1:1" s="97" customFormat="1" x14ac:dyDescent="0.25">
      <c r="A152" s="69"/>
    </row>
    <row r="153" spans="1:1" s="97" customFormat="1" x14ac:dyDescent="0.25">
      <c r="A153" s="69"/>
    </row>
    <row r="154" spans="1:1" s="97" customFormat="1" x14ac:dyDescent="0.25">
      <c r="A154" s="69"/>
    </row>
    <row r="155" spans="1:1" s="97" customFormat="1" x14ac:dyDescent="0.25">
      <c r="A155" s="69"/>
    </row>
    <row r="156" spans="1:1" s="97" customFormat="1" x14ac:dyDescent="0.25">
      <c r="A156" s="69"/>
    </row>
    <row r="157" spans="1:1" s="97" customFormat="1" x14ac:dyDescent="0.25">
      <c r="A157" s="69"/>
    </row>
    <row r="158" spans="1:1" s="97" customFormat="1" x14ac:dyDescent="0.25">
      <c r="A158" s="69"/>
    </row>
    <row r="159" spans="1:1" s="97" customFormat="1" x14ac:dyDescent="0.25">
      <c r="A159" s="69"/>
    </row>
    <row r="160" spans="1:1" s="97" customFormat="1" x14ac:dyDescent="0.25">
      <c r="A160" s="69"/>
    </row>
    <row r="161" spans="1:1" s="97" customFormat="1" x14ac:dyDescent="0.25">
      <c r="A161" s="69"/>
    </row>
    <row r="162" spans="1:1" s="97" customFormat="1" x14ac:dyDescent="0.25">
      <c r="A162" s="69"/>
    </row>
    <row r="163" spans="1:1" s="97" customFormat="1" x14ac:dyDescent="0.25">
      <c r="A163" s="69"/>
    </row>
    <row r="164" spans="1:1" s="97" customFormat="1" x14ac:dyDescent="0.25">
      <c r="A164" s="69"/>
    </row>
    <row r="165" spans="1:1" s="97" customFormat="1" x14ac:dyDescent="0.25">
      <c r="A165" s="69"/>
    </row>
    <row r="166" spans="1:1" s="97" customFormat="1" x14ac:dyDescent="0.25">
      <c r="A166" s="69"/>
    </row>
    <row r="167" spans="1:1" s="97" customFormat="1" x14ac:dyDescent="0.25">
      <c r="A167" s="69"/>
    </row>
    <row r="168" spans="1:1" s="97" customFormat="1" x14ac:dyDescent="0.25">
      <c r="A168" s="69"/>
    </row>
    <row r="169" spans="1:1" s="97" customFormat="1" x14ac:dyDescent="0.25">
      <c r="A169" s="69"/>
    </row>
    <row r="170" spans="1:1" s="97" customFormat="1" x14ac:dyDescent="0.25">
      <c r="A170" s="69"/>
    </row>
    <row r="171" spans="1:1" s="97" customFormat="1" x14ac:dyDescent="0.25">
      <c r="A171" s="69"/>
    </row>
    <row r="172" spans="1:1" s="97" customFormat="1" x14ac:dyDescent="0.25">
      <c r="A172" s="69"/>
    </row>
    <row r="173" spans="1:1" s="97" customFormat="1" x14ac:dyDescent="0.25">
      <c r="A173" s="69"/>
    </row>
    <row r="174" spans="1:1" s="97" customFormat="1" x14ac:dyDescent="0.25">
      <c r="A174" s="69"/>
    </row>
    <row r="175" spans="1:1" s="97" customFormat="1" x14ac:dyDescent="0.25">
      <c r="A175" s="69"/>
    </row>
    <row r="176" spans="1:1" s="97" customFormat="1" x14ac:dyDescent="0.25">
      <c r="A176" s="69"/>
    </row>
    <row r="177" spans="1:1" s="97" customFormat="1" x14ac:dyDescent="0.25">
      <c r="A177" s="69"/>
    </row>
    <row r="178" spans="1:1" s="97" customFormat="1" x14ac:dyDescent="0.25">
      <c r="A178" s="69"/>
    </row>
    <row r="179" spans="1:1" s="97" customFormat="1" x14ac:dyDescent="0.25">
      <c r="A179" s="69"/>
    </row>
    <row r="180" spans="1:1" s="97" customFormat="1" x14ac:dyDescent="0.25">
      <c r="A180" s="69"/>
    </row>
    <row r="181" spans="1:1" s="97" customFormat="1" x14ac:dyDescent="0.25">
      <c r="A181" s="69"/>
    </row>
    <row r="182" spans="1:1" s="97" customFormat="1" x14ac:dyDescent="0.25">
      <c r="A182" s="69"/>
    </row>
    <row r="183" spans="1:1" s="97" customFormat="1" x14ac:dyDescent="0.25">
      <c r="A183" s="69"/>
    </row>
    <row r="184" spans="1:1" s="97" customFormat="1" x14ac:dyDescent="0.25">
      <c r="A184" s="69"/>
    </row>
    <row r="185" spans="1:1" s="97" customFormat="1" x14ac:dyDescent="0.25">
      <c r="A185" s="69"/>
    </row>
    <row r="186" spans="1:1" s="97" customFormat="1" x14ac:dyDescent="0.25">
      <c r="A186" s="69"/>
    </row>
    <row r="187" spans="1:1" s="97" customFormat="1" x14ac:dyDescent="0.25">
      <c r="A187" s="69"/>
    </row>
    <row r="188" spans="1:1" s="97" customFormat="1" x14ac:dyDescent="0.25">
      <c r="A188" s="69"/>
    </row>
    <row r="189" spans="1:1" s="97" customFormat="1" x14ac:dyDescent="0.25">
      <c r="A189" s="69"/>
    </row>
    <row r="190" spans="1:1" s="97" customFormat="1" x14ac:dyDescent="0.25">
      <c r="A190" s="69"/>
    </row>
    <row r="191" spans="1:1" s="97" customFormat="1" x14ac:dyDescent="0.25">
      <c r="A191" s="69"/>
    </row>
    <row r="192" spans="1:1" s="97" customFormat="1" x14ac:dyDescent="0.25">
      <c r="A192" s="69"/>
    </row>
    <row r="193" spans="1:1" s="97" customFormat="1" x14ac:dyDescent="0.25">
      <c r="A193" s="69"/>
    </row>
    <row r="194" spans="1:1" s="97" customFormat="1" x14ac:dyDescent="0.25">
      <c r="A194" s="69"/>
    </row>
    <row r="195" spans="1:1" s="97" customFormat="1" x14ac:dyDescent="0.25">
      <c r="A195" s="69"/>
    </row>
    <row r="196" spans="1:1" s="97" customFormat="1" x14ac:dyDescent="0.25">
      <c r="A196" s="69"/>
    </row>
    <row r="197" spans="1:1" s="97" customFormat="1" x14ac:dyDescent="0.25">
      <c r="A197" s="69"/>
    </row>
    <row r="198" spans="1:1" s="97" customFormat="1" x14ac:dyDescent="0.25">
      <c r="A198" s="69"/>
    </row>
    <row r="199" spans="1:1" s="97" customFormat="1" x14ac:dyDescent="0.25">
      <c r="A199" s="69"/>
    </row>
    <row r="200" spans="1:1" s="97" customFormat="1" x14ac:dyDescent="0.25">
      <c r="A200" s="69"/>
    </row>
    <row r="201" spans="1:1" s="97" customFormat="1" x14ac:dyDescent="0.25">
      <c r="A201" s="69"/>
    </row>
    <row r="202" spans="1:1" s="97" customFormat="1" x14ac:dyDescent="0.25">
      <c r="A202" s="69"/>
    </row>
    <row r="203" spans="1:1" s="97" customFormat="1" x14ac:dyDescent="0.25">
      <c r="A203" s="69"/>
    </row>
    <row r="204" spans="1:1" s="97" customFormat="1" x14ac:dyDescent="0.25">
      <c r="A204" s="69"/>
    </row>
    <row r="205" spans="1:1" s="97" customFormat="1" x14ac:dyDescent="0.25">
      <c r="A205" s="69"/>
    </row>
    <row r="206" spans="1:1" s="97" customFormat="1" x14ac:dyDescent="0.25">
      <c r="A206" s="69"/>
    </row>
    <row r="207" spans="1:1" s="97" customFormat="1" x14ac:dyDescent="0.25">
      <c r="A207" s="69"/>
    </row>
    <row r="208" spans="1:1" s="97" customFormat="1" x14ac:dyDescent="0.25">
      <c r="A208" s="69"/>
    </row>
    <row r="209" spans="1:1" s="97" customFormat="1" x14ac:dyDescent="0.25">
      <c r="A209" s="69"/>
    </row>
    <row r="210" spans="1:1" s="97" customFormat="1" x14ac:dyDescent="0.25">
      <c r="A210" s="69"/>
    </row>
    <row r="211" spans="1:1" s="97" customFormat="1" x14ac:dyDescent="0.25">
      <c r="A211" s="69"/>
    </row>
    <row r="212" spans="1:1" s="97" customFormat="1" x14ac:dyDescent="0.25">
      <c r="A212" s="69"/>
    </row>
    <row r="213" spans="1:1" s="97" customFormat="1" x14ac:dyDescent="0.25">
      <c r="A213" s="69"/>
    </row>
    <row r="214" spans="1:1" s="97" customFormat="1" x14ac:dyDescent="0.25">
      <c r="A214" s="69"/>
    </row>
    <row r="215" spans="1:1" s="97" customFormat="1" x14ac:dyDescent="0.25">
      <c r="A215" s="69"/>
    </row>
    <row r="216" spans="1:1" s="97" customFormat="1" x14ac:dyDescent="0.25">
      <c r="A216" s="69"/>
    </row>
  </sheetData>
  <sheetProtection algorithmName="SHA-512" hashValue="NFHKi3e6lXmRMIRqD3qb8+fw88hCV3D6CnArdSIk5cgRrpqcA7d3ptxUQ5panS65RvD1QesSGSsyJ0ubEFwbRA==" saltValue="06uEco4+/JvBsnS6XdjuDw==" spinCount="100000" sheet="1" selectLockedCells="1"/>
  <mergeCells count="20">
    <mergeCell ref="B76:B81"/>
    <mergeCell ref="B7:B8"/>
    <mergeCell ref="E7:G7"/>
    <mergeCell ref="C51:D51"/>
    <mergeCell ref="C52:D52"/>
    <mergeCell ref="B55:B72"/>
    <mergeCell ref="B12:B24"/>
    <mergeCell ref="B28:B33"/>
    <mergeCell ref="B38:B52"/>
    <mergeCell ref="C45:D45"/>
    <mergeCell ref="C46:D46"/>
    <mergeCell ref="C47:D47"/>
    <mergeCell ref="C48:D48"/>
    <mergeCell ref="C49:D49"/>
    <mergeCell ref="C50:D50"/>
    <mergeCell ref="B3:C3"/>
    <mergeCell ref="E3:F3"/>
    <mergeCell ref="J3:K3"/>
    <mergeCell ref="B2:K2"/>
    <mergeCell ref="L12:L25"/>
  </mergeCells>
  <dataValidations count="4">
    <dataValidation type="list" allowBlank="1" showInputMessage="1" showErrorMessage="1" sqref="N12">
      <formula1>digester_no</formula1>
    </dataValidation>
    <dataValidation type="list" allowBlank="1" showInputMessage="1" showErrorMessage="1" promptTitle="..." sqref="H7">
      <formula1>company_name</formula1>
    </dataValidation>
    <dataValidation type="list" allowBlank="1" showInputMessage="1" showErrorMessage="1" sqref="E39">
      <formula1>CHP_kW</formula1>
    </dataValidation>
    <dataValidation type="list" allowBlank="1" showInputMessage="1" showErrorMessage="1" sqref="E19">
      <formula1>HRT</formula1>
    </dataValidation>
  </dataValidations>
  <pageMargins left="0.7" right="0.7" top="0.75" bottom="0.75" header="0.3" footer="0.3"/>
  <pageSetup paperSize="9" scale="2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BD140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6" sqref="E36"/>
    </sheetView>
  </sheetViews>
  <sheetFormatPr defaultRowHeight="15" x14ac:dyDescent="0.25"/>
  <cols>
    <col min="1" max="1" width="5.28515625" style="69" customWidth="1"/>
    <col min="2" max="2" width="22.140625" style="103" customWidth="1"/>
    <col min="3" max="3" width="15.28515625" style="185" customWidth="1"/>
    <col min="4" max="4" width="38.5703125" style="103" customWidth="1"/>
    <col min="5" max="5" width="16.7109375" style="156" customWidth="1"/>
    <col min="6" max="6" width="13.42578125" style="103" bestFit="1" customWidth="1"/>
    <col min="7" max="7" width="18.140625" style="103" customWidth="1"/>
    <col min="8" max="8" width="14" style="103" customWidth="1"/>
    <col min="9" max="9" width="15.140625" style="103" customWidth="1"/>
    <col min="10" max="10" width="13.5703125" style="103" customWidth="1"/>
    <col min="11" max="11" width="14.140625" style="103" customWidth="1"/>
    <col min="12" max="12" width="13.140625" style="103" customWidth="1"/>
    <col min="13" max="13" width="13.42578125" style="184" customWidth="1"/>
    <col min="14" max="14" width="12.7109375" style="103" customWidth="1"/>
    <col min="15" max="15" width="14.5703125" style="103" customWidth="1"/>
    <col min="16" max="16" width="14.7109375" style="97" customWidth="1"/>
    <col min="17" max="17" width="15" style="97" customWidth="1"/>
    <col min="18" max="18" width="13.7109375" style="103" customWidth="1"/>
    <col min="19" max="19" width="14.28515625" style="103" customWidth="1"/>
    <col min="20" max="56" width="9.140625" style="97"/>
    <col min="57" max="16384" width="9.140625" style="103"/>
  </cols>
  <sheetData>
    <row r="1" spans="1:35" s="50" customFormat="1" x14ac:dyDescent="0.25">
      <c r="A1" s="49"/>
    </row>
    <row r="2" spans="1:35" s="50" customFormat="1" ht="83.25" customHeight="1" x14ac:dyDescent="0.25">
      <c r="A2" s="49"/>
      <c r="B2" s="300" t="s">
        <v>401</v>
      </c>
      <c r="C2" s="300"/>
      <c r="D2" s="300"/>
      <c r="E2" s="300"/>
      <c r="F2" s="300"/>
      <c r="G2" s="300"/>
      <c r="H2" s="300"/>
      <c r="I2" s="300"/>
      <c r="J2" s="300"/>
      <c r="K2" s="300"/>
      <c r="L2" s="255"/>
      <c r="M2" s="255"/>
    </row>
    <row r="3" spans="1:35" s="64" customFormat="1" ht="27" customHeight="1" x14ac:dyDescent="0.25">
      <c r="A3" s="254"/>
      <c r="B3" s="299"/>
      <c r="C3" s="299"/>
      <c r="D3" s="258"/>
      <c r="E3" s="298"/>
      <c r="F3" s="298"/>
      <c r="G3" s="258"/>
      <c r="H3" s="259"/>
      <c r="I3" s="258"/>
      <c r="J3" s="299"/>
      <c r="K3" s="299"/>
      <c r="L3" s="260"/>
      <c r="M3" s="261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</row>
    <row r="4" spans="1:35" s="64" customFormat="1" ht="15.75" customHeight="1" x14ac:dyDescent="0.25">
      <c r="A4" s="254"/>
      <c r="B4" s="256"/>
      <c r="C4" s="256"/>
      <c r="E4" s="256"/>
      <c r="F4" s="256"/>
      <c r="H4" s="256"/>
      <c r="J4" s="256"/>
      <c r="K4" s="256"/>
      <c r="L4" s="257"/>
      <c r="M4" s="256"/>
    </row>
    <row r="5" spans="1:35" s="52" customFormat="1" x14ac:dyDescent="0.25">
      <c r="A5" s="51"/>
      <c r="B5" s="52" t="s">
        <v>240</v>
      </c>
    </row>
    <row r="6" spans="1:35" s="54" customFormat="1" x14ac:dyDescent="0.25">
      <c r="A6" s="49"/>
    </row>
    <row r="7" spans="1:35" s="50" customFormat="1" x14ac:dyDescent="0.25">
      <c r="A7" s="49"/>
      <c r="B7" s="312" t="s">
        <v>20</v>
      </c>
      <c r="C7" s="49" t="s">
        <v>173</v>
      </c>
      <c r="E7" s="309">
        <f>'Analiza polj. gospodarstva'!D7</f>
        <v>0</v>
      </c>
      <c r="F7" s="309"/>
      <c r="G7" s="309"/>
      <c r="H7" s="50" t="s">
        <v>4</v>
      </c>
    </row>
    <row r="8" spans="1:35" s="50" customFormat="1" x14ac:dyDescent="0.25">
      <c r="A8" s="49"/>
      <c r="B8" s="312"/>
    </row>
    <row r="9" spans="1:35" s="97" customFormat="1" x14ac:dyDescent="0.25">
      <c r="A9" s="69"/>
      <c r="C9" s="111"/>
      <c r="E9" s="145"/>
    </row>
    <row r="10" spans="1:35" s="96" customFormat="1" x14ac:dyDescent="0.25">
      <c r="A10" s="51"/>
      <c r="B10" s="96" t="s">
        <v>305</v>
      </c>
      <c r="C10" s="146"/>
      <c r="E10" s="147"/>
    </row>
    <row r="11" spans="1:35" s="69" customFormat="1" x14ac:dyDescent="0.25">
      <c r="C11" s="148"/>
      <c r="E11" s="149"/>
    </row>
    <row r="12" spans="1:35" s="69" customFormat="1" x14ac:dyDescent="0.25">
      <c r="B12" s="316"/>
      <c r="C12" s="317" t="s">
        <v>306</v>
      </c>
      <c r="D12" s="317"/>
      <c r="E12" s="186" t="str">
        <f>'AD analiza'!E42</f>
        <v>STERLING</v>
      </c>
      <c r="F12" s="111" t="s">
        <v>146</v>
      </c>
    </row>
    <row r="13" spans="1:35" s="69" customFormat="1" x14ac:dyDescent="0.25">
      <c r="B13" s="316"/>
      <c r="C13" s="318" t="s">
        <v>372</v>
      </c>
      <c r="D13" s="318"/>
      <c r="E13" s="286">
        <f>'AD analiza'!F61</f>
        <v>0</v>
      </c>
      <c r="F13" s="111" t="s">
        <v>371</v>
      </c>
    </row>
    <row r="14" spans="1:35" s="69" customFormat="1" x14ac:dyDescent="0.25">
      <c r="B14" s="316"/>
      <c r="C14" s="148"/>
      <c r="E14" s="149"/>
    </row>
    <row r="15" spans="1:35" s="97" customFormat="1" x14ac:dyDescent="0.25">
      <c r="A15" s="69"/>
      <c r="B15" s="316"/>
      <c r="C15" s="111" t="s">
        <v>307</v>
      </c>
      <c r="D15" s="97" t="s">
        <v>373</v>
      </c>
      <c r="E15" s="248">
        <v>2.2499999999999999E-2</v>
      </c>
      <c r="F15" s="97" t="s">
        <v>147</v>
      </c>
    </row>
    <row r="16" spans="1:35" x14ac:dyDescent="0.25">
      <c r="B16" s="316"/>
      <c r="C16" s="111"/>
      <c r="D16" s="97" t="s">
        <v>314</v>
      </c>
      <c r="E16" s="187">
        <f>[2]AD_calculation!F72</f>
        <v>0.110803324099723</v>
      </c>
      <c r="F16" s="97" t="s">
        <v>147</v>
      </c>
      <c r="G16" s="97"/>
      <c r="H16" s="97"/>
      <c r="I16" s="97"/>
      <c r="J16" s="97"/>
      <c r="K16" s="97"/>
      <c r="L16" s="97"/>
      <c r="M16" s="97"/>
      <c r="N16" s="97"/>
      <c r="O16" s="97"/>
      <c r="R16" s="97"/>
      <c r="S16" s="97"/>
    </row>
    <row r="17" spans="1:56" x14ac:dyDescent="0.25">
      <c r="B17" s="316"/>
      <c r="C17" s="111"/>
      <c r="D17" s="97" t="s">
        <v>315</v>
      </c>
      <c r="E17" s="139">
        <f>[2]AD_calculation!G59</f>
        <v>19.854999999999997</v>
      </c>
      <c r="F17" s="97" t="s">
        <v>148</v>
      </c>
      <c r="G17" s="97"/>
      <c r="H17" s="97"/>
      <c r="I17" s="97"/>
      <c r="J17" s="97"/>
      <c r="K17" s="97"/>
      <c r="L17" s="97"/>
      <c r="M17" s="97"/>
      <c r="N17" s="97"/>
      <c r="O17" s="97"/>
      <c r="R17" s="97"/>
      <c r="S17" s="97"/>
    </row>
    <row r="18" spans="1:56" x14ac:dyDescent="0.25">
      <c r="B18" s="316"/>
      <c r="C18" s="111"/>
      <c r="D18" s="97" t="s">
        <v>313</v>
      </c>
      <c r="E18" s="187">
        <f>[2]AD_calculation!F78</f>
        <v>0.2</v>
      </c>
      <c r="F18" s="97" t="s">
        <v>148</v>
      </c>
      <c r="G18" s="97"/>
      <c r="H18" s="97"/>
      <c r="I18" s="97"/>
      <c r="J18" s="97"/>
      <c r="K18" s="97"/>
      <c r="L18" s="97"/>
      <c r="M18" s="97"/>
      <c r="N18" s="97"/>
      <c r="O18" s="97"/>
      <c r="R18" s="97"/>
      <c r="S18" s="97"/>
    </row>
    <row r="19" spans="1:56" x14ac:dyDescent="0.25">
      <c r="B19" s="316"/>
      <c r="C19" s="111"/>
      <c r="D19" s="97"/>
      <c r="E19" s="145"/>
      <c r="F19" s="97"/>
      <c r="G19" s="97"/>
      <c r="H19" s="97"/>
      <c r="I19" s="97"/>
      <c r="J19" s="97"/>
      <c r="K19" s="97"/>
      <c r="L19" s="97"/>
      <c r="M19" s="97"/>
      <c r="N19" s="97"/>
      <c r="O19" s="97"/>
      <c r="R19" s="97"/>
      <c r="S19" s="97"/>
    </row>
    <row r="20" spans="1:56" x14ac:dyDescent="0.25">
      <c r="B20" s="316"/>
      <c r="C20" s="111" t="s">
        <v>308</v>
      </c>
      <c r="D20" s="97"/>
      <c r="E20" s="145"/>
      <c r="F20" s="251">
        <f>SUM(F21:F23)</f>
        <v>0</v>
      </c>
      <c r="G20" s="97" t="s">
        <v>309</v>
      </c>
      <c r="H20" s="97"/>
      <c r="I20" s="97"/>
      <c r="J20" s="97"/>
      <c r="K20" s="97"/>
      <c r="L20" s="97"/>
      <c r="M20" s="97"/>
      <c r="N20" s="97"/>
      <c r="O20" s="97"/>
      <c r="R20" s="97"/>
      <c r="S20" s="97"/>
    </row>
    <row r="21" spans="1:56" x14ac:dyDescent="0.25">
      <c r="B21" s="316"/>
      <c r="C21" s="111"/>
      <c r="D21" s="97" t="s">
        <v>310</v>
      </c>
      <c r="E21" s="145"/>
      <c r="F21" s="287">
        <f>'Analiza polj. gospodarstva'!D53+'Analiza polj. gospodarstva'!D57+'Analiza polj. gospodarstva'!D59</f>
        <v>0</v>
      </c>
      <c r="G21" s="97" t="s">
        <v>309</v>
      </c>
      <c r="H21" s="97"/>
      <c r="I21" s="97"/>
      <c r="J21" s="97"/>
      <c r="K21" s="97"/>
      <c r="L21" s="97"/>
      <c r="M21" s="97"/>
      <c r="N21" s="97"/>
      <c r="O21" s="97"/>
      <c r="R21" s="97"/>
      <c r="S21" s="97"/>
    </row>
    <row r="22" spans="1:56" ht="15.75" customHeight="1" x14ac:dyDescent="0.25">
      <c r="B22" s="316"/>
      <c r="C22" s="111"/>
      <c r="D22" s="97" t="s">
        <v>311</v>
      </c>
      <c r="E22" s="145"/>
      <c r="F22" s="287">
        <f>'Analiza polj. gospodarstva'!D54+'Analiza polj. gospodarstva'!D58</f>
        <v>0</v>
      </c>
      <c r="G22" s="97" t="s">
        <v>309</v>
      </c>
      <c r="H22" s="97"/>
      <c r="I22" s="97"/>
      <c r="J22" s="97"/>
      <c r="K22" s="97"/>
      <c r="L22" s="97"/>
      <c r="M22" s="97"/>
      <c r="N22" s="97"/>
      <c r="O22" s="97"/>
      <c r="R22" s="97"/>
      <c r="S22" s="97"/>
    </row>
    <row r="23" spans="1:56" x14ac:dyDescent="0.25">
      <c r="B23" s="316"/>
      <c r="C23" s="111"/>
      <c r="D23" s="97" t="s">
        <v>169</v>
      </c>
      <c r="E23" s="145"/>
      <c r="F23" s="283">
        <f>'Analiza polj. gospodarstva'!D62+'Analiza polj. gospodarstva'!D63</f>
        <v>0</v>
      </c>
      <c r="G23" s="97" t="s">
        <v>309</v>
      </c>
      <c r="H23" s="97"/>
      <c r="I23" s="97"/>
      <c r="J23" s="97"/>
      <c r="K23" s="97"/>
      <c r="L23" s="97"/>
      <c r="M23" s="97"/>
      <c r="N23" s="97"/>
      <c r="O23" s="97"/>
      <c r="R23" s="97"/>
      <c r="S23" s="97"/>
    </row>
    <row r="24" spans="1:56" x14ac:dyDescent="0.25">
      <c r="B24" s="316"/>
      <c r="C24" s="111"/>
      <c r="D24" s="97" t="s">
        <v>312</v>
      </c>
      <c r="E24" s="145"/>
      <c r="F24" s="139">
        <f>'Analiza polj. gospodarstva'!H17</f>
        <v>0</v>
      </c>
      <c r="G24" s="97"/>
      <c r="H24" s="97"/>
      <c r="I24" s="97"/>
      <c r="J24" s="97"/>
      <c r="K24" s="97"/>
      <c r="L24" s="97"/>
      <c r="M24" s="97"/>
      <c r="N24" s="97"/>
      <c r="O24" s="97"/>
      <c r="R24" s="97"/>
      <c r="S24" s="97"/>
    </row>
    <row r="25" spans="1:56" x14ac:dyDescent="0.25">
      <c r="B25" s="97"/>
      <c r="C25" s="111"/>
      <c r="D25" s="97"/>
      <c r="E25" s="145"/>
      <c r="F25" s="97"/>
      <c r="G25" s="97"/>
      <c r="H25" s="97"/>
      <c r="I25" s="97"/>
      <c r="J25" s="97"/>
      <c r="K25" s="97"/>
      <c r="L25" s="97"/>
      <c r="M25" s="97"/>
      <c r="N25" s="97"/>
      <c r="O25" s="97"/>
      <c r="R25" s="97"/>
      <c r="S25" s="97"/>
    </row>
    <row r="26" spans="1:56" s="96" customFormat="1" x14ac:dyDescent="0.25">
      <c r="A26" s="51"/>
      <c r="B26" s="96" t="s">
        <v>316</v>
      </c>
      <c r="C26" s="146"/>
      <c r="E26" s="147"/>
    </row>
    <row r="27" spans="1:56" s="151" customFormat="1" x14ac:dyDescent="0.25">
      <c r="A27" s="69"/>
      <c r="B27" s="69"/>
      <c r="C27" s="148"/>
      <c r="D27" s="69"/>
      <c r="E27" s="213">
        <v>0</v>
      </c>
      <c r="F27" s="69" t="s">
        <v>153</v>
      </c>
      <c r="G27" s="267"/>
      <c r="H27" s="69"/>
      <c r="I27" s="267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</row>
    <row r="28" spans="1:56" s="151" customFormat="1" x14ac:dyDescent="0.25">
      <c r="A28" s="69"/>
      <c r="B28" s="69"/>
      <c r="C28" s="148"/>
      <c r="D28" s="69"/>
      <c r="E28" s="267"/>
      <c r="F28" s="69"/>
      <c r="G28" s="267"/>
      <c r="H28" s="69"/>
      <c r="I28" s="267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</row>
    <row r="29" spans="1:56" x14ac:dyDescent="0.25">
      <c r="B29" s="311"/>
      <c r="C29" s="111" t="s">
        <v>317</v>
      </c>
      <c r="D29" s="97"/>
      <c r="E29" s="188">
        <f>E27*E30</f>
        <v>0</v>
      </c>
      <c r="F29" s="97"/>
      <c r="G29" s="315" t="s">
        <v>407</v>
      </c>
      <c r="H29" s="315"/>
      <c r="I29" s="315"/>
      <c r="J29" s="69"/>
      <c r="K29" s="97"/>
      <c r="L29" s="97"/>
      <c r="M29" s="97"/>
      <c r="N29" s="97"/>
      <c r="O29" s="97"/>
      <c r="R29" s="97"/>
      <c r="S29" s="97"/>
    </row>
    <row r="30" spans="1:56" x14ac:dyDescent="0.25">
      <c r="B30" s="311"/>
      <c r="C30" s="111"/>
      <c r="D30" s="97" t="s">
        <v>402</v>
      </c>
      <c r="E30" s="274">
        <v>0</v>
      </c>
      <c r="F30" s="69" t="s">
        <v>403</v>
      </c>
      <c r="G30" s="271" t="s">
        <v>408</v>
      </c>
      <c r="H30" s="272" t="s">
        <v>409</v>
      </c>
      <c r="I30" s="273" t="s">
        <v>410</v>
      </c>
      <c r="J30" s="69"/>
      <c r="K30" s="97"/>
      <c r="L30" s="97"/>
      <c r="M30" s="97"/>
      <c r="N30" s="97"/>
      <c r="O30" s="97"/>
      <c r="R30" s="97"/>
      <c r="S30" s="97"/>
    </row>
    <row r="31" spans="1:56" x14ac:dyDescent="0.25">
      <c r="B31" s="311"/>
      <c r="C31" s="111"/>
      <c r="D31" s="97"/>
      <c r="E31" s="145"/>
      <c r="F31" s="161"/>
      <c r="G31" s="268" t="s">
        <v>404</v>
      </c>
      <c r="H31" s="269" t="s">
        <v>405</v>
      </c>
      <c r="I31" s="270" t="s">
        <v>406</v>
      </c>
      <c r="J31" s="161"/>
      <c r="K31" s="97"/>
      <c r="L31" s="97"/>
      <c r="M31" s="97"/>
      <c r="N31" s="97"/>
      <c r="O31" s="97"/>
      <c r="R31" s="97"/>
      <c r="S31" s="97"/>
    </row>
    <row r="32" spans="1:56" x14ac:dyDescent="0.25">
      <c r="B32" s="311"/>
      <c r="C32" s="111"/>
      <c r="D32" s="97"/>
      <c r="E32" s="145"/>
      <c r="F32" s="161"/>
      <c r="G32" s="145"/>
      <c r="H32" s="161"/>
      <c r="I32" s="145"/>
      <c r="J32" s="161"/>
      <c r="K32" s="97"/>
      <c r="L32" s="97"/>
      <c r="M32" s="97"/>
      <c r="N32" s="97"/>
      <c r="O32" s="97"/>
      <c r="R32" s="97"/>
      <c r="S32" s="97"/>
    </row>
    <row r="33" spans="1:56" x14ac:dyDescent="0.25">
      <c r="B33" s="311"/>
      <c r="C33" s="111" t="s">
        <v>318</v>
      </c>
      <c r="D33" s="97"/>
      <c r="E33" s="275">
        <f>SUM(E34:E39)</f>
        <v>16000</v>
      </c>
      <c r="F33" s="161"/>
      <c r="G33" s="97"/>
      <c r="H33" s="97"/>
      <c r="I33" s="97"/>
      <c r="J33" s="97"/>
      <c r="K33" s="97"/>
      <c r="L33" s="97"/>
      <c r="M33" s="97"/>
      <c r="N33" s="97"/>
      <c r="O33" s="97"/>
      <c r="R33" s="97"/>
      <c r="S33" s="97"/>
    </row>
    <row r="34" spans="1:56" x14ac:dyDescent="0.25">
      <c r="B34" s="311"/>
      <c r="C34" s="111"/>
      <c r="D34" s="97" t="s">
        <v>319</v>
      </c>
      <c r="E34" s="276">
        <f>350*(G34*J34)</f>
        <v>0</v>
      </c>
      <c r="F34" s="161"/>
      <c r="G34" s="249"/>
      <c r="H34" s="97" t="s">
        <v>386</v>
      </c>
      <c r="I34" s="97"/>
      <c r="J34" s="249"/>
      <c r="K34" s="97" t="s">
        <v>387</v>
      </c>
      <c r="L34" s="97" t="s">
        <v>388</v>
      </c>
      <c r="M34" s="97" t="s">
        <v>389</v>
      </c>
      <c r="N34" s="97"/>
      <c r="O34" s="97" t="s">
        <v>390</v>
      </c>
      <c r="Q34" s="97" t="s">
        <v>391</v>
      </c>
      <c r="S34" s="97"/>
    </row>
    <row r="35" spans="1:56" ht="17.25" customHeight="1" x14ac:dyDescent="0.25">
      <c r="B35" s="311"/>
      <c r="C35" s="111"/>
      <c r="D35" s="97" t="s">
        <v>320</v>
      </c>
      <c r="E35" s="276">
        <f>G35*J35</f>
        <v>12000</v>
      </c>
      <c r="F35" s="161"/>
      <c r="G35" s="277">
        <v>8000</v>
      </c>
      <c r="H35" s="103" t="s">
        <v>396</v>
      </c>
      <c r="I35" s="97"/>
      <c r="J35" s="277">
        <v>1.5</v>
      </c>
      <c r="K35" s="97" t="s">
        <v>392</v>
      </c>
      <c r="L35" s="97"/>
      <c r="M35" s="97" t="s">
        <v>393</v>
      </c>
      <c r="N35" s="97"/>
      <c r="O35" s="97" t="s">
        <v>394</v>
      </c>
      <c r="Q35" s="97" t="s">
        <v>395</v>
      </c>
      <c r="S35" s="97"/>
    </row>
    <row r="36" spans="1:56" ht="15.75" customHeight="1" x14ac:dyDescent="0.25">
      <c r="B36" s="311"/>
      <c r="C36" s="111"/>
      <c r="D36" s="97" t="s">
        <v>321</v>
      </c>
      <c r="E36" s="276">
        <v>2000</v>
      </c>
      <c r="F36" s="161"/>
      <c r="G36" s="97"/>
      <c r="H36" s="97"/>
      <c r="I36" s="97"/>
      <c r="J36" s="97"/>
      <c r="K36" s="97"/>
      <c r="L36" s="97"/>
      <c r="M36" s="97"/>
      <c r="N36" s="97"/>
      <c r="O36" s="97"/>
      <c r="R36" s="97"/>
      <c r="S36" s="97"/>
    </row>
    <row r="37" spans="1:56" ht="15" customHeight="1" x14ac:dyDescent="0.25">
      <c r="B37" s="311"/>
      <c r="C37" s="111"/>
      <c r="D37" s="97" t="s">
        <v>236</v>
      </c>
      <c r="E37" s="276">
        <f>G37*J37</f>
        <v>0</v>
      </c>
      <c r="F37" s="161"/>
      <c r="G37" s="250">
        <f>'Analiza polj. gospodarstva'!D61</f>
        <v>0</v>
      </c>
      <c r="H37" s="97" t="s">
        <v>375</v>
      </c>
      <c r="I37" s="97"/>
      <c r="J37" s="249">
        <v>0</v>
      </c>
      <c r="K37" s="97" t="s">
        <v>374</v>
      </c>
      <c r="L37" s="97"/>
      <c r="M37" s="97"/>
      <c r="N37" s="97"/>
      <c r="O37" s="97"/>
      <c r="R37" s="97"/>
      <c r="S37" s="97"/>
    </row>
    <row r="38" spans="1:56" x14ac:dyDescent="0.25">
      <c r="B38" s="311"/>
      <c r="C38" s="111"/>
      <c r="D38" s="97" t="s">
        <v>322</v>
      </c>
      <c r="E38" s="276">
        <v>2000</v>
      </c>
      <c r="F38" s="161"/>
      <c r="G38" s="97"/>
      <c r="H38" s="97"/>
      <c r="I38" s="97"/>
      <c r="J38" s="97"/>
      <c r="K38" s="97"/>
      <c r="L38" s="97"/>
      <c r="M38" s="97"/>
      <c r="N38" s="97"/>
      <c r="O38" s="97"/>
      <c r="R38" s="97"/>
      <c r="S38" s="97"/>
    </row>
    <row r="39" spans="1:56" x14ac:dyDescent="0.25">
      <c r="B39" s="311"/>
      <c r="C39" s="111"/>
      <c r="D39" s="97" t="s">
        <v>323</v>
      </c>
      <c r="E39" s="276">
        <f>0.005*E29</f>
        <v>0</v>
      </c>
      <c r="F39" s="161"/>
      <c r="G39" s="97"/>
      <c r="H39" s="97"/>
      <c r="I39" s="97"/>
      <c r="J39" s="97"/>
      <c r="K39" s="97"/>
      <c r="L39" s="97"/>
      <c r="M39" s="97"/>
      <c r="N39" s="97"/>
      <c r="O39" s="97"/>
      <c r="R39" s="97"/>
      <c r="S39" s="97"/>
    </row>
    <row r="40" spans="1:56" x14ac:dyDescent="0.25">
      <c r="B40" s="97"/>
      <c r="C40" s="148"/>
      <c r="D40" s="69"/>
      <c r="E40" s="149"/>
      <c r="F40" s="69"/>
      <c r="G40" s="69"/>
      <c r="H40" s="97"/>
      <c r="I40" s="97"/>
      <c r="J40" s="97"/>
      <c r="K40" s="97"/>
      <c r="L40" s="97"/>
      <c r="M40" s="97"/>
      <c r="N40" s="97"/>
      <c r="O40" s="97"/>
      <c r="R40" s="97"/>
      <c r="S40" s="97"/>
    </row>
    <row r="41" spans="1:56" s="96" customFormat="1" x14ac:dyDescent="0.25">
      <c r="A41" s="51"/>
      <c r="B41" s="96" t="s">
        <v>384</v>
      </c>
      <c r="C41" s="146"/>
      <c r="E41" s="152"/>
      <c r="G41" s="152"/>
    </row>
    <row r="42" spans="1:56" s="151" customFormat="1" ht="3.75" customHeight="1" x14ac:dyDescent="0.25">
      <c r="A42" s="69"/>
      <c r="C42" s="148"/>
      <c r="D42" s="69"/>
      <c r="E42" s="153"/>
      <c r="F42" s="69"/>
      <c r="G42" s="153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</row>
    <row r="43" spans="1:56" ht="25.5" customHeight="1" x14ac:dyDescent="0.25">
      <c r="B43" s="311"/>
      <c r="C43" s="148"/>
      <c r="D43" s="154" t="s">
        <v>324</v>
      </c>
      <c r="E43" s="153"/>
      <c r="F43" s="69"/>
      <c r="G43" s="155"/>
      <c r="H43" s="97"/>
      <c r="I43" s="97"/>
      <c r="J43" s="97"/>
      <c r="K43" s="97"/>
      <c r="L43" s="97"/>
      <c r="M43" s="97"/>
      <c r="N43" s="97"/>
      <c r="O43" s="97"/>
      <c r="R43" s="97"/>
      <c r="S43" s="97"/>
    </row>
    <row r="44" spans="1:56" x14ac:dyDescent="0.25">
      <c r="B44" s="311"/>
      <c r="C44" s="148"/>
      <c r="D44" s="69"/>
      <c r="E44" s="245">
        <v>0.5</v>
      </c>
      <c r="F44" s="126"/>
      <c r="G44" s="245">
        <v>0.7</v>
      </c>
      <c r="H44" s="97"/>
      <c r="I44" s="97"/>
      <c r="J44" s="97"/>
      <c r="K44" s="97"/>
      <c r="L44" s="97"/>
      <c r="M44" s="97"/>
      <c r="N44" s="97"/>
      <c r="O44" s="97"/>
      <c r="R44" s="97"/>
      <c r="S44" s="97"/>
    </row>
    <row r="45" spans="1:56" x14ac:dyDescent="0.25">
      <c r="B45" s="311"/>
      <c r="C45" s="111"/>
      <c r="D45" s="97" t="s">
        <v>325</v>
      </c>
      <c r="E45" s="156">
        <f>0.5*E48</f>
        <v>0</v>
      </c>
      <c r="F45" s="97"/>
      <c r="G45" s="156">
        <f>0.7*E48</f>
        <v>0</v>
      </c>
      <c r="H45" s="97"/>
      <c r="I45" s="97"/>
      <c r="J45" s="97"/>
      <c r="K45" s="97"/>
      <c r="L45" s="97"/>
      <c r="M45" s="97"/>
      <c r="N45" s="97"/>
      <c r="O45" s="97"/>
      <c r="R45" s="97"/>
      <c r="S45" s="97"/>
    </row>
    <row r="46" spans="1:56" s="97" customFormat="1" x14ac:dyDescent="0.25">
      <c r="A46" s="69"/>
      <c r="B46" s="311"/>
      <c r="C46" s="111"/>
      <c r="E46" s="145"/>
    </row>
    <row r="47" spans="1:56" s="97" customFormat="1" x14ac:dyDescent="0.25">
      <c r="A47" s="69"/>
      <c r="B47" s="311"/>
      <c r="C47" s="157" t="s">
        <v>112</v>
      </c>
      <c r="D47" s="158"/>
      <c r="E47" s="159"/>
      <c r="F47" s="158"/>
      <c r="G47" s="158"/>
    </row>
    <row r="48" spans="1:56" x14ac:dyDescent="0.25">
      <c r="B48" s="311"/>
      <c r="C48" s="111"/>
      <c r="D48" s="97" t="s">
        <v>326</v>
      </c>
      <c r="E48" s="145">
        <f>E29</f>
        <v>0</v>
      </c>
      <c r="F48" s="97"/>
      <c r="G48" s="145">
        <f>E29</f>
        <v>0</v>
      </c>
      <c r="H48" s="97"/>
      <c r="I48" s="97"/>
      <c r="J48" s="97"/>
      <c r="K48" s="97"/>
      <c r="L48" s="97"/>
      <c r="M48" s="97"/>
      <c r="N48" s="97"/>
      <c r="O48" s="97"/>
      <c r="R48" s="97"/>
      <c r="S48" s="97"/>
    </row>
    <row r="49" spans="1:56" x14ac:dyDescent="0.25">
      <c r="B49" s="311"/>
      <c r="C49" s="111"/>
      <c r="D49" s="97" t="s">
        <v>327</v>
      </c>
      <c r="E49" s="145">
        <f>-E45</f>
        <v>0</v>
      </c>
      <c r="F49" s="97"/>
      <c r="G49" s="145">
        <f>-G45</f>
        <v>0</v>
      </c>
      <c r="H49" s="97"/>
      <c r="I49" s="97"/>
      <c r="J49" s="97"/>
      <c r="K49" s="97"/>
      <c r="L49" s="97"/>
      <c r="M49" s="97"/>
      <c r="N49" s="97"/>
      <c r="O49" s="97"/>
      <c r="R49" s="97"/>
      <c r="S49" s="97"/>
    </row>
    <row r="50" spans="1:56" x14ac:dyDescent="0.25">
      <c r="B50" s="311"/>
      <c r="C50" s="111"/>
      <c r="D50" s="97" t="s">
        <v>376</v>
      </c>
      <c r="E50" s="145">
        <f>E33</f>
        <v>16000</v>
      </c>
      <c r="F50" s="97"/>
      <c r="G50" s="145">
        <f>E33</f>
        <v>16000</v>
      </c>
      <c r="H50" s="97"/>
      <c r="I50" s="97"/>
      <c r="J50" s="97"/>
      <c r="K50" s="97"/>
      <c r="L50" s="97"/>
      <c r="M50" s="97"/>
      <c r="N50" s="97"/>
      <c r="O50" s="97"/>
      <c r="R50" s="97"/>
      <c r="S50" s="97"/>
    </row>
    <row r="51" spans="1:56" x14ac:dyDescent="0.25">
      <c r="B51" s="311"/>
      <c r="C51" s="160"/>
      <c r="D51" s="160" t="s">
        <v>328</v>
      </c>
      <c r="E51" s="189">
        <f>SUM(E48:E49)</f>
        <v>0</v>
      </c>
      <c r="F51" s="180"/>
      <c r="G51" s="189">
        <f>SUM(G48:G49)</f>
        <v>0</v>
      </c>
      <c r="H51" s="161"/>
      <c r="I51" s="97"/>
      <c r="J51" s="97"/>
      <c r="K51" s="97"/>
      <c r="L51" s="97"/>
      <c r="M51" s="97"/>
      <c r="N51" s="97"/>
      <c r="O51" s="97"/>
      <c r="R51" s="97"/>
      <c r="S51" s="97"/>
    </row>
    <row r="52" spans="1:56" s="97" customFormat="1" x14ac:dyDescent="0.25">
      <c r="A52" s="69"/>
      <c r="C52" s="111"/>
      <c r="E52" s="145"/>
    </row>
    <row r="53" spans="1:56" s="96" customFormat="1" x14ac:dyDescent="0.25">
      <c r="A53" s="51"/>
      <c r="B53" s="96" t="s">
        <v>329</v>
      </c>
      <c r="C53" s="146"/>
      <c r="E53" s="147"/>
    </row>
    <row r="54" spans="1:56" s="97" customFormat="1" x14ac:dyDescent="0.25">
      <c r="A54" s="69"/>
      <c r="C54" s="111"/>
      <c r="E54" s="145"/>
    </row>
    <row r="55" spans="1:56" x14ac:dyDescent="0.25">
      <c r="B55" s="311"/>
      <c r="C55" s="111"/>
      <c r="D55" s="246" t="s">
        <v>330</v>
      </c>
      <c r="F55" s="97"/>
      <c r="G55" s="97"/>
      <c r="H55" s="97"/>
      <c r="I55" s="97"/>
      <c r="J55" s="97"/>
      <c r="K55" s="97"/>
      <c r="L55" s="97"/>
      <c r="M55" s="97"/>
      <c r="N55" s="97"/>
      <c r="O55" s="97"/>
      <c r="R55" s="97"/>
      <c r="S55" s="97"/>
    </row>
    <row r="56" spans="1:56" x14ac:dyDescent="0.25">
      <c r="B56" s="311"/>
      <c r="C56" s="111"/>
      <c r="D56" s="158" t="s">
        <v>331</v>
      </c>
      <c r="E56" s="266" t="e">
        <f>E48/E27</f>
        <v>#DIV/0!</v>
      </c>
      <c r="F56" s="162" t="s">
        <v>149</v>
      </c>
      <c r="G56" s="97"/>
      <c r="H56" s="97"/>
      <c r="I56" s="97"/>
      <c r="J56" s="97"/>
      <c r="K56" s="97"/>
      <c r="L56" s="97"/>
      <c r="M56" s="97"/>
      <c r="N56" s="97"/>
      <c r="O56" s="97"/>
      <c r="R56" s="97"/>
      <c r="S56" s="97"/>
    </row>
    <row r="57" spans="1:56" x14ac:dyDescent="0.25">
      <c r="B57" s="311"/>
      <c r="C57" s="111"/>
      <c r="D57" s="69" t="s">
        <v>332</v>
      </c>
      <c r="E57" s="190" t="e">
        <f>E51/E27</f>
        <v>#DIV/0!</v>
      </c>
      <c r="F57" s="163" t="s">
        <v>149</v>
      </c>
      <c r="G57" s="97"/>
      <c r="H57" s="97"/>
      <c r="I57" s="164"/>
      <c r="J57" s="164"/>
      <c r="K57" s="164"/>
      <c r="L57" s="164"/>
      <c r="M57" s="164"/>
      <c r="N57" s="165"/>
      <c r="O57" s="164"/>
      <c r="P57" s="164"/>
      <c r="Q57" s="164"/>
      <c r="R57" s="164"/>
      <c r="S57" s="164"/>
    </row>
    <row r="58" spans="1:56" x14ac:dyDescent="0.25">
      <c r="B58" s="311"/>
      <c r="C58" s="111"/>
      <c r="D58" s="69" t="s">
        <v>333</v>
      </c>
      <c r="E58" s="191" t="e">
        <f>G51/E27</f>
        <v>#DIV/0!</v>
      </c>
      <c r="F58" s="166" t="s">
        <v>149</v>
      </c>
      <c r="G58" s="97"/>
      <c r="H58" s="97"/>
      <c r="I58" s="97"/>
      <c r="J58" s="97"/>
      <c r="K58" s="97"/>
      <c r="L58" s="97"/>
      <c r="M58" s="97"/>
      <c r="N58" s="97"/>
      <c r="O58" s="97"/>
      <c r="R58" s="97"/>
      <c r="S58" s="97"/>
    </row>
    <row r="59" spans="1:56" x14ac:dyDescent="0.25">
      <c r="B59" s="97"/>
      <c r="C59" s="111"/>
      <c r="D59" s="97"/>
      <c r="E59" s="145"/>
      <c r="F59" s="97"/>
      <c r="G59" s="97"/>
      <c r="H59" s="97"/>
      <c r="I59" s="97"/>
      <c r="J59" s="97"/>
      <c r="K59" s="97"/>
      <c r="L59" s="97"/>
      <c r="M59" s="97"/>
      <c r="N59" s="167"/>
      <c r="O59" s="97"/>
      <c r="R59" s="97"/>
      <c r="S59" s="97"/>
    </row>
    <row r="60" spans="1:56" s="96" customFormat="1" x14ac:dyDescent="0.25">
      <c r="A60" s="51"/>
      <c r="B60" s="96" t="s">
        <v>334</v>
      </c>
      <c r="C60" s="146"/>
      <c r="E60" s="147"/>
      <c r="N60" s="168"/>
    </row>
    <row r="61" spans="1:56" s="151" customFormat="1" x14ac:dyDescent="0.25">
      <c r="A61" s="69"/>
      <c r="B61" s="69"/>
      <c r="C61" s="148"/>
      <c r="D61" s="69"/>
      <c r="E61" s="169"/>
      <c r="F61" s="69"/>
      <c r="G61" s="69"/>
      <c r="H61" s="69"/>
      <c r="I61" s="69"/>
      <c r="J61" s="69"/>
      <c r="K61" s="69"/>
      <c r="L61" s="69"/>
      <c r="M61" s="69"/>
      <c r="N61" s="170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</row>
    <row r="62" spans="1:56" x14ac:dyDescent="0.25">
      <c r="B62" s="311"/>
      <c r="C62" s="171"/>
      <c r="D62" s="172" t="s">
        <v>335</v>
      </c>
      <c r="E62" s="192">
        <v>0.04</v>
      </c>
      <c r="F62" s="163"/>
      <c r="G62" s="97"/>
      <c r="H62" s="97"/>
      <c r="I62" s="97"/>
      <c r="J62" s="97"/>
      <c r="K62" s="97"/>
      <c r="L62" s="97"/>
      <c r="M62" s="97"/>
      <c r="N62" s="97"/>
      <c r="O62" s="97"/>
      <c r="R62" s="97"/>
      <c r="S62" s="97"/>
    </row>
    <row r="63" spans="1:56" x14ac:dyDescent="0.25">
      <c r="B63" s="311"/>
      <c r="C63" s="171"/>
      <c r="D63" s="172" t="s">
        <v>336</v>
      </c>
      <c r="E63" s="173">
        <v>1.4999999999999999E-2</v>
      </c>
      <c r="F63" s="97"/>
      <c r="G63" s="97"/>
      <c r="H63" s="97"/>
      <c r="I63" s="97"/>
      <c r="J63" s="97"/>
      <c r="K63" s="97"/>
      <c r="L63" s="97"/>
      <c r="M63" s="97"/>
      <c r="N63" s="167"/>
      <c r="O63" s="97"/>
      <c r="R63" s="97"/>
      <c r="S63" s="97"/>
    </row>
    <row r="64" spans="1:56" x14ac:dyDescent="0.25">
      <c r="B64" s="311"/>
      <c r="C64" s="171"/>
      <c r="D64" s="172" t="s">
        <v>337</v>
      </c>
      <c r="E64" s="173">
        <v>0.02</v>
      </c>
      <c r="F64" s="97"/>
      <c r="G64" s="97"/>
      <c r="H64" s="97"/>
      <c r="I64" s="97"/>
      <c r="J64" s="97"/>
      <c r="K64" s="97"/>
      <c r="L64" s="97"/>
      <c r="M64" s="97"/>
      <c r="N64" s="97"/>
      <c r="O64" s="97"/>
      <c r="R64" s="97"/>
      <c r="S64" s="97"/>
    </row>
    <row r="65" spans="1:19" x14ac:dyDescent="0.25">
      <c r="B65" s="97"/>
      <c r="C65" s="171"/>
      <c r="D65" s="172"/>
      <c r="E65" s="173"/>
      <c r="F65" s="97"/>
      <c r="G65" s="97"/>
      <c r="H65" s="97"/>
      <c r="I65" s="97"/>
      <c r="J65" s="97"/>
      <c r="K65" s="97"/>
      <c r="L65" s="97"/>
      <c r="M65" s="97"/>
      <c r="N65" s="97"/>
      <c r="O65" s="97"/>
      <c r="R65" s="97"/>
      <c r="S65" s="97"/>
    </row>
    <row r="66" spans="1:19" s="96" customFormat="1" x14ac:dyDescent="0.25">
      <c r="A66" s="51"/>
      <c r="B66" s="96" t="s">
        <v>385</v>
      </c>
      <c r="C66" s="146"/>
      <c r="E66" s="147"/>
    </row>
    <row r="67" spans="1:19" s="97" customFormat="1" x14ac:dyDescent="0.25">
      <c r="A67" s="69"/>
      <c r="C67" s="111"/>
      <c r="E67" s="145"/>
      <c r="I67" s="69"/>
      <c r="J67" s="182"/>
    </row>
    <row r="68" spans="1:19" x14ac:dyDescent="0.25">
      <c r="B68" s="311"/>
      <c r="C68" s="157"/>
      <c r="D68" s="243" t="s">
        <v>331</v>
      </c>
      <c r="E68" s="159"/>
      <c r="F68" s="158"/>
      <c r="G68" s="158"/>
      <c r="H68" s="158"/>
      <c r="I68" s="158"/>
      <c r="J68" s="158"/>
      <c r="K68" s="158"/>
      <c r="L68" s="158"/>
      <c r="M68" s="158"/>
      <c r="N68" s="158"/>
      <c r="O68" s="158"/>
    </row>
    <row r="69" spans="1:19" s="97" customFormat="1" x14ac:dyDescent="0.25">
      <c r="A69" s="69"/>
      <c r="B69" s="311"/>
      <c r="C69" s="148"/>
      <c r="D69" s="69" t="s">
        <v>338</v>
      </c>
      <c r="E69" s="149"/>
      <c r="F69" s="174">
        <v>1</v>
      </c>
      <c r="G69" s="130">
        <v>2</v>
      </c>
      <c r="H69" s="130">
        <v>3</v>
      </c>
      <c r="I69" s="130">
        <v>4</v>
      </c>
      <c r="J69" s="130">
        <v>5</v>
      </c>
      <c r="K69" s="130">
        <v>6</v>
      </c>
      <c r="L69" s="130">
        <v>7</v>
      </c>
      <c r="M69" s="130">
        <v>8</v>
      </c>
      <c r="N69" s="130">
        <v>9</v>
      </c>
      <c r="O69" s="130">
        <v>10</v>
      </c>
    </row>
    <row r="70" spans="1:19" s="97" customFormat="1" x14ac:dyDescent="0.25">
      <c r="A70" s="69"/>
      <c r="B70" s="311"/>
      <c r="C70" s="148"/>
      <c r="D70" s="69" t="s">
        <v>339</v>
      </c>
      <c r="E70" s="175"/>
      <c r="F70" s="176">
        <f>-PMT(E62,10,1*E48,0,1)</f>
        <v>0</v>
      </c>
      <c r="G70" s="176">
        <f>F70</f>
        <v>0</v>
      </c>
      <c r="H70" s="176">
        <f t="shared" ref="H70:O70" si="0">G70</f>
        <v>0</v>
      </c>
      <c r="I70" s="176">
        <f t="shared" si="0"/>
        <v>0</v>
      </c>
      <c r="J70" s="176">
        <f t="shared" si="0"/>
        <v>0</v>
      </c>
      <c r="K70" s="176">
        <f t="shared" si="0"/>
        <v>0</v>
      </c>
      <c r="L70" s="176">
        <f t="shared" si="0"/>
        <v>0</v>
      </c>
      <c r="M70" s="176">
        <f t="shared" si="0"/>
        <v>0</v>
      </c>
      <c r="N70" s="176">
        <f t="shared" si="0"/>
        <v>0</v>
      </c>
      <c r="O70" s="176">
        <f t="shared" si="0"/>
        <v>0</v>
      </c>
    </row>
    <row r="71" spans="1:19" s="97" customFormat="1" x14ac:dyDescent="0.25">
      <c r="A71" s="69"/>
      <c r="B71" s="311"/>
      <c r="C71" s="148"/>
      <c r="D71" s="69" t="s">
        <v>340</v>
      </c>
      <c r="E71" s="175"/>
      <c r="F71" s="176">
        <f>E50</f>
        <v>16000</v>
      </c>
      <c r="G71" s="176">
        <f>F71*(1+$E$63)</f>
        <v>16239.999999999998</v>
      </c>
      <c r="H71" s="176">
        <f t="shared" ref="H71:O71" si="1">G71*(1+$E$63)</f>
        <v>16483.599999999995</v>
      </c>
      <c r="I71" s="176">
        <f t="shared" si="1"/>
        <v>16730.853999999992</v>
      </c>
      <c r="J71" s="176">
        <f t="shared" si="1"/>
        <v>16981.816809999989</v>
      </c>
      <c r="K71" s="176">
        <f t="shared" si="1"/>
        <v>17236.544062149987</v>
      </c>
      <c r="L71" s="176">
        <f t="shared" si="1"/>
        <v>17495.092223082236</v>
      </c>
      <c r="M71" s="176">
        <f t="shared" si="1"/>
        <v>17757.518606428468</v>
      </c>
      <c r="N71" s="176">
        <f t="shared" si="1"/>
        <v>18023.881385524892</v>
      </c>
      <c r="O71" s="176">
        <f t="shared" si="1"/>
        <v>18294.239606307765</v>
      </c>
    </row>
    <row r="72" spans="1:19" s="97" customFormat="1" x14ac:dyDescent="0.25">
      <c r="A72" s="69"/>
      <c r="B72" s="311"/>
      <c r="C72" s="148"/>
      <c r="D72" s="69" t="s">
        <v>342</v>
      </c>
      <c r="E72" s="175"/>
      <c r="F72" s="176">
        <v>0</v>
      </c>
      <c r="G72" s="176">
        <v>0</v>
      </c>
      <c r="H72" s="176">
        <v>0</v>
      </c>
      <c r="I72" s="176">
        <v>0</v>
      </c>
      <c r="J72" s="176">
        <v>0</v>
      </c>
      <c r="K72" s="176">
        <v>0</v>
      </c>
      <c r="L72" s="176">
        <v>0</v>
      </c>
      <c r="M72" s="176">
        <v>0</v>
      </c>
      <c r="N72" s="176">
        <v>0</v>
      </c>
      <c r="O72" s="176">
        <v>0</v>
      </c>
    </row>
    <row r="73" spans="1:19" s="97" customFormat="1" x14ac:dyDescent="0.25">
      <c r="A73" s="69"/>
      <c r="B73" s="311"/>
      <c r="C73" s="148"/>
      <c r="D73" s="69" t="s">
        <v>341</v>
      </c>
      <c r="E73" s="175"/>
      <c r="F73" s="285">
        <f>'Analiza polj. gospodarstva'!M29</f>
        <v>0</v>
      </c>
      <c r="G73" s="176">
        <f>F73*(1+$E$64)</f>
        <v>0</v>
      </c>
      <c r="H73" s="176">
        <f t="shared" ref="H73:O73" si="2">G73*(1+$E$64)</f>
        <v>0</v>
      </c>
      <c r="I73" s="176">
        <f>H73*(1+$E$64)</f>
        <v>0</v>
      </c>
      <c r="J73" s="176">
        <f t="shared" si="2"/>
        <v>0</v>
      </c>
      <c r="K73" s="176">
        <f t="shared" si="2"/>
        <v>0</v>
      </c>
      <c r="L73" s="176">
        <f t="shared" si="2"/>
        <v>0</v>
      </c>
      <c r="M73" s="176">
        <f t="shared" si="2"/>
        <v>0</v>
      </c>
      <c r="N73" s="176">
        <f t="shared" si="2"/>
        <v>0</v>
      </c>
      <c r="O73" s="176">
        <f t="shared" si="2"/>
        <v>0</v>
      </c>
    </row>
    <row r="74" spans="1:19" s="97" customFormat="1" x14ac:dyDescent="0.25">
      <c r="A74" s="69"/>
      <c r="B74" s="311"/>
      <c r="C74" s="148"/>
      <c r="D74" s="69"/>
      <c r="E74" s="175"/>
      <c r="F74" s="177"/>
      <c r="G74" s="177"/>
      <c r="H74" s="177"/>
      <c r="I74" s="177"/>
      <c r="J74" s="177"/>
      <c r="K74" s="177"/>
      <c r="L74" s="177"/>
      <c r="M74" s="177"/>
      <c r="N74" s="177"/>
      <c r="O74" s="177"/>
    </row>
    <row r="75" spans="1:19" s="97" customFormat="1" x14ac:dyDescent="0.25">
      <c r="A75" s="69"/>
      <c r="B75" s="311"/>
      <c r="C75" s="148"/>
      <c r="D75" s="69" t="s">
        <v>414</v>
      </c>
      <c r="E75" s="175">
        <f>-E48</f>
        <v>0</v>
      </c>
      <c r="F75" s="183">
        <f>F73+F72-F71-F70</f>
        <v>-16000</v>
      </c>
      <c r="G75" s="183">
        <f>G73+G72-G71-G70</f>
        <v>-16239.999999999998</v>
      </c>
      <c r="H75" s="183">
        <f t="shared" ref="H75:O75" si="3">H73+H72-H71-H70</f>
        <v>-16483.599999999995</v>
      </c>
      <c r="I75" s="183">
        <f t="shared" si="3"/>
        <v>-16730.853999999992</v>
      </c>
      <c r="J75" s="183">
        <f t="shared" si="3"/>
        <v>-16981.816809999989</v>
      </c>
      <c r="K75" s="183">
        <f t="shared" si="3"/>
        <v>-17236.544062149987</v>
      </c>
      <c r="L75" s="183">
        <f t="shared" si="3"/>
        <v>-17495.092223082236</v>
      </c>
      <c r="M75" s="183">
        <f t="shared" si="3"/>
        <v>-17757.518606428468</v>
      </c>
      <c r="N75" s="183">
        <f t="shared" si="3"/>
        <v>-18023.881385524892</v>
      </c>
      <c r="O75" s="183">
        <f t="shared" si="3"/>
        <v>-18294.239606307765</v>
      </c>
      <c r="P75" s="50"/>
      <c r="Q75" s="50"/>
    </row>
    <row r="76" spans="1:19" s="97" customFormat="1" x14ac:dyDescent="0.25">
      <c r="A76" s="69"/>
      <c r="B76" s="311"/>
      <c r="C76" s="148"/>
      <c r="D76" s="69" t="s">
        <v>413</v>
      </c>
      <c r="E76" s="149">
        <f>E75</f>
        <v>0</v>
      </c>
      <c r="F76" s="288">
        <f>E76+F75</f>
        <v>-16000</v>
      </c>
      <c r="G76" s="288">
        <f>F76+G75</f>
        <v>-32240</v>
      </c>
      <c r="H76" s="288">
        <f t="shared" ref="H76:O76" si="4">G76+H75</f>
        <v>-48723.599999999991</v>
      </c>
      <c r="I76" s="288">
        <f t="shared" si="4"/>
        <v>-65454.453999999983</v>
      </c>
      <c r="J76" s="288">
        <f t="shared" si="4"/>
        <v>-82436.270809999973</v>
      </c>
      <c r="K76" s="288">
        <f t="shared" si="4"/>
        <v>-99672.81487214996</v>
      </c>
      <c r="L76" s="288">
        <f t="shared" si="4"/>
        <v>-117167.90709523219</v>
      </c>
      <c r="M76" s="288">
        <f t="shared" si="4"/>
        <v>-134925.42570166066</v>
      </c>
      <c r="N76" s="288">
        <f t="shared" si="4"/>
        <v>-152949.30708718556</v>
      </c>
      <c r="O76" s="288">
        <f t="shared" si="4"/>
        <v>-171243.54669349332</v>
      </c>
      <c r="P76" s="50"/>
      <c r="Q76" s="50"/>
    </row>
    <row r="77" spans="1:19" s="97" customFormat="1" x14ac:dyDescent="0.25">
      <c r="A77" s="69"/>
      <c r="B77" s="311"/>
      <c r="C77" s="148"/>
      <c r="D77" s="69"/>
      <c r="E77" s="149"/>
      <c r="F77" s="49"/>
      <c r="G77" s="49"/>
      <c r="H77" s="49"/>
      <c r="I77" s="49" t="s">
        <v>151</v>
      </c>
      <c r="J77" s="183">
        <f>SUM(F75:O75)</f>
        <v>-171243.54669349332</v>
      </c>
      <c r="K77" s="49"/>
      <c r="L77" s="49"/>
      <c r="M77" s="49"/>
      <c r="N77" s="49"/>
      <c r="O77" s="49"/>
      <c r="P77" s="50"/>
      <c r="Q77" s="50"/>
    </row>
    <row r="78" spans="1:19" s="97" customFormat="1" x14ac:dyDescent="0.25">
      <c r="A78" s="69"/>
      <c r="B78" s="311"/>
      <c r="C78" s="160"/>
      <c r="D78" s="180"/>
      <c r="E78" s="150"/>
      <c r="F78" s="56"/>
      <c r="G78" s="56"/>
      <c r="H78" s="56"/>
      <c r="I78" s="193" t="s">
        <v>152</v>
      </c>
      <c r="J78" s="194" t="e">
        <f>IRR(E76:O76)</f>
        <v>#NUM!</v>
      </c>
      <c r="K78" s="56"/>
      <c r="L78" s="56"/>
      <c r="M78" s="56"/>
      <c r="N78" s="56"/>
      <c r="O78" s="56"/>
      <c r="P78" s="50"/>
      <c r="Q78" s="50"/>
    </row>
    <row r="79" spans="1:19" s="97" customFormat="1" x14ac:dyDescent="0.25">
      <c r="A79" s="69"/>
      <c r="C79" s="111"/>
      <c r="E79" s="145"/>
    </row>
    <row r="80" spans="1:19" s="97" customFormat="1" x14ac:dyDescent="0.25">
      <c r="A80" s="69"/>
      <c r="C80" s="111"/>
      <c r="E80" s="145"/>
    </row>
    <row r="81" spans="1:19" x14ac:dyDescent="0.25">
      <c r="B81" s="311"/>
      <c r="C81" s="157"/>
      <c r="D81" s="244" t="s">
        <v>332</v>
      </c>
      <c r="E81" s="159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R81" s="97"/>
      <c r="S81" s="97"/>
    </row>
    <row r="82" spans="1:19" s="97" customFormat="1" x14ac:dyDescent="0.25">
      <c r="A82" s="69"/>
      <c r="B82" s="311"/>
      <c r="C82" s="148"/>
      <c r="D82" s="69" t="s">
        <v>338</v>
      </c>
      <c r="E82" s="149"/>
      <c r="F82" s="174">
        <v>1</v>
      </c>
      <c r="G82" s="130">
        <v>2</v>
      </c>
      <c r="H82" s="130">
        <v>3</v>
      </c>
      <c r="I82" s="130">
        <v>4</v>
      </c>
      <c r="J82" s="130">
        <v>5</v>
      </c>
      <c r="K82" s="130">
        <v>6</v>
      </c>
      <c r="L82" s="130">
        <v>7</v>
      </c>
      <c r="M82" s="130">
        <v>8</v>
      </c>
      <c r="N82" s="130">
        <v>9</v>
      </c>
      <c r="O82" s="130">
        <v>10</v>
      </c>
      <c r="P82" s="102"/>
      <c r="Q82" s="102"/>
      <c r="R82" s="102"/>
      <c r="S82" s="102"/>
    </row>
    <row r="83" spans="1:19" s="97" customFormat="1" x14ac:dyDescent="0.25">
      <c r="A83" s="69"/>
      <c r="B83" s="311"/>
      <c r="C83" s="148"/>
      <c r="D83" s="69" t="s">
        <v>339</v>
      </c>
      <c r="E83" s="175"/>
      <c r="F83" s="176">
        <f>-PMT(E62,10,0.5*E48,0,1)</f>
        <v>0</v>
      </c>
      <c r="G83" s="176">
        <f t="shared" ref="G83:O83" si="5">F83</f>
        <v>0</v>
      </c>
      <c r="H83" s="176">
        <f t="shared" si="5"/>
        <v>0</v>
      </c>
      <c r="I83" s="176">
        <f t="shared" si="5"/>
        <v>0</v>
      </c>
      <c r="J83" s="176">
        <f t="shared" si="5"/>
        <v>0</v>
      </c>
      <c r="K83" s="176">
        <f t="shared" si="5"/>
        <v>0</v>
      </c>
      <c r="L83" s="176">
        <f t="shared" si="5"/>
        <v>0</v>
      </c>
      <c r="M83" s="176">
        <f t="shared" si="5"/>
        <v>0</v>
      </c>
      <c r="N83" s="176">
        <f t="shared" si="5"/>
        <v>0</v>
      </c>
      <c r="O83" s="176">
        <f t="shared" si="5"/>
        <v>0</v>
      </c>
    </row>
    <row r="84" spans="1:19" s="97" customFormat="1" x14ac:dyDescent="0.25">
      <c r="A84" s="69"/>
      <c r="B84" s="311"/>
      <c r="C84" s="148"/>
      <c r="D84" s="69" t="s">
        <v>340</v>
      </c>
      <c r="E84" s="175"/>
      <c r="F84" s="176">
        <f>E50</f>
        <v>16000</v>
      </c>
      <c r="G84" s="176">
        <f t="shared" ref="G84:O84" si="6">F84*(1+$E$63)</f>
        <v>16239.999999999998</v>
      </c>
      <c r="H84" s="176">
        <f t="shared" si="6"/>
        <v>16483.599999999995</v>
      </c>
      <c r="I84" s="176">
        <f t="shared" si="6"/>
        <v>16730.853999999992</v>
      </c>
      <c r="J84" s="176">
        <f t="shared" si="6"/>
        <v>16981.816809999989</v>
      </c>
      <c r="K84" s="176">
        <f t="shared" si="6"/>
        <v>17236.544062149987</v>
      </c>
      <c r="L84" s="176">
        <f t="shared" si="6"/>
        <v>17495.092223082236</v>
      </c>
      <c r="M84" s="176">
        <f t="shared" si="6"/>
        <v>17757.518606428468</v>
      </c>
      <c r="N84" s="176">
        <f t="shared" si="6"/>
        <v>18023.881385524892</v>
      </c>
      <c r="O84" s="176">
        <f t="shared" si="6"/>
        <v>18294.239606307765</v>
      </c>
    </row>
    <row r="85" spans="1:19" s="97" customFormat="1" x14ac:dyDescent="0.25">
      <c r="A85" s="69"/>
      <c r="B85" s="311"/>
      <c r="C85" s="148"/>
      <c r="D85" s="69" t="s">
        <v>342</v>
      </c>
      <c r="E85" s="175"/>
      <c r="F85" s="176">
        <v>0</v>
      </c>
      <c r="G85" s="176">
        <v>0</v>
      </c>
      <c r="H85" s="176">
        <v>0</v>
      </c>
      <c r="I85" s="176">
        <v>0</v>
      </c>
      <c r="J85" s="176">
        <v>0</v>
      </c>
      <c r="K85" s="176">
        <v>0</v>
      </c>
      <c r="L85" s="176">
        <v>0</v>
      </c>
      <c r="M85" s="176">
        <v>0</v>
      </c>
      <c r="N85" s="176">
        <v>0</v>
      </c>
      <c r="O85" s="176">
        <v>0</v>
      </c>
    </row>
    <row r="86" spans="1:19" s="97" customFormat="1" x14ac:dyDescent="0.25">
      <c r="A86" s="69"/>
      <c r="B86" s="311"/>
      <c r="C86" s="148"/>
      <c r="D86" s="69" t="s">
        <v>341</v>
      </c>
      <c r="E86" s="175"/>
      <c r="F86" s="285">
        <f>F73</f>
        <v>0</v>
      </c>
      <c r="G86" s="176">
        <f t="shared" ref="G86:O86" si="7">F86*(1+$E$64)</f>
        <v>0</v>
      </c>
      <c r="H86" s="176">
        <f t="shared" si="7"/>
        <v>0</v>
      </c>
      <c r="I86" s="176">
        <f t="shared" si="7"/>
        <v>0</v>
      </c>
      <c r="J86" s="176">
        <f t="shared" si="7"/>
        <v>0</v>
      </c>
      <c r="K86" s="176">
        <f t="shared" si="7"/>
        <v>0</v>
      </c>
      <c r="L86" s="176">
        <f t="shared" si="7"/>
        <v>0</v>
      </c>
      <c r="M86" s="176">
        <f t="shared" si="7"/>
        <v>0</v>
      </c>
      <c r="N86" s="176">
        <f t="shared" si="7"/>
        <v>0</v>
      </c>
      <c r="O86" s="176">
        <f t="shared" si="7"/>
        <v>0</v>
      </c>
    </row>
    <row r="87" spans="1:19" s="97" customFormat="1" x14ac:dyDescent="0.25">
      <c r="A87" s="69"/>
      <c r="B87" s="311"/>
      <c r="C87" s="148"/>
      <c r="D87" s="69"/>
      <c r="E87" s="175"/>
      <c r="F87" s="177"/>
      <c r="G87" s="177"/>
      <c r="H87" s="177"/>
      <c r="I87" s="177"/>
      <c r="J87" s="177"/>
      <c r="K87" s="177"/>
      <c r="L87" s="177"/>
      <c r="M87" s="177"/>
      <c r="N87" s="177"/>
      <c r="O87" s="177"/>
    </row>
    <row r="88" spans="1:19" s="97" customFormat="1" x14ac:dyDescent="0.25">
      <c r="A88" s="69"/>
      <c r="B88" s="311"/>
      <c r="C88" s="148"/>
      <c r="D88" s="69" t="s">
        <v>150</v>
      </c>
      <c r="E88" s="175">
        <f>-E51</f>
        <v>0</v>
      </c>
      <c r="F88" s="178">
        <f>F86+F85-F84-F83</f>
        <v>-16000</v>
      </c>
      <c r="G88" s="178">
        <f>G86+G85-G84-G83</f>
        <v>-16239.999999999998</v>
      </c>
      <c r="H88" s="178">
        <f>H86+H85-H84-H83</f>
        <v>-16483.599999999995</v>
      </c>
      <c r="I88" s="178">
        <f t="shared" ref="I88:O88" si="8">I86+I85-I84-I83</f>
        <v>-16730.853999999992</v>
      </c>
      <c r="J88" s="178">
        <f>J86+J85-J84-J83</f>
        <v>-16981.816809999989</v>
      </c>
      <c r="K88" s="178">
        <f t="shared" si="8"/>
        <v>-17236.544062149987</v>
      </c>
      <c r="L88" s="178">
        <f t="shared" si="8"/>
        <v>-17495.092223082236</v>
      </c>
      <c r="M88" s="178">
        <f t="shared" si="8"/>
        <v>-17757.518606428468</v>
      </c>
      <c r="N88" s="178">
        <f t="shared" si="8"/>
        <v>-18023.881385524892</v>
      </c>
      <c r="O88" s="178">
        <f t="shared" si="8"/>
        <v>-18294.239606307765</v>
      </c>
    </row>
    <row r="89" spans="1:19" s="97" customFormat="1" x14ac:dyDescent="0.25">
      <c r="A89" s="69"/>
      <c r="B89" s="311"/>
      <c r="C89" s="148"/>
      <c r="D89" s="69" t="s">
        <v>413</v>
      </c>
      <c r="E89" s="149">
        <f>E88</f>
        <v>0</v>
      </c>
      <c r="F89" s="149">
        <f>E89+F88</f>
        <v>-16000</v>
      </c>
      <c r="G89" s="149">
        <f>F89+G88</f>
        <v>-32240</v>
      </c>
      <c r="H89" s="149">
        <f>G89+H88</f>
        <v>-48723.599999999991</v>
      </c>
      <c r="I89" s="149">
        <f t="shared" ref="I89:O89" si="9">H89+I88</f>
        <v>-65454.453999999983</v>
      </c>
      <c r="J89" s="149">
        <f t="shared" si="9"/>
        <v>-82436.270809999973</v>
      </c>
      <c r="K89" s="149">
        <f t="shared" si="9"/>
        <v>-99672.81487214996</v>
      </c>
      <c r="L89" s="149">
        <f t="shared" si="9"/>
        <v>-117167.90709523219</v>
      </c>
      <c r="M89" s="149">
        <f t="shared" si="9"/>
        <v>-134925.42570166066</v>
      </c>
      <c r="N89" s="149">
        <f t="shared" si="9"/>
        <v>-152949.30708718556</v>
      </c>
      <c r="O89" s="149">
        <f t="shared" si="9"/>
        <v>-171243.54669349332</v>
      </c>
    </row>
    <row r="90" spans="1:19" s="97" customFormat="1" x14ac:dyDescent="0.25">
      <c r="A90" s="69"/>
      <c r="B90" s="311"/>
      <c r="C90" s="148"/>
      <c r="D90" s="69"/>
      <c r="E90" s="149"/>
      <c r="F90" s="69"/>
      <c r="G90" s="69"/>
      <c r="H90" s="69"/>
      <c r="I90" s="69" t="s">
        <v>151</v>
      </c>
      <c r="J90" s="179">
        <f>SUM(F88:O88)</f>
        <v>-171243.54669349332</v>
      </c>
      <c r="K90" s="69"/>
      <c r="L90" s="69"/>
      <c r="M90" s="69"/>
      <c r="N90" s="69"/>
      <c r="O90" s="69"/>
    </row>
    <row r="91" spans="1:19" s="97" customFormat="1" x14ac:dyDescent="0.25">
      <c r="A91" s="69"/>
      <c r="B91" s="311"/>
      <c r="C91" s="160"/>
      <c r="D91" s="180"/>
      <c r="E91" s="150"/>
      <c r="F91" s="180"/>
      <c r="G91" s="180"/>
      <c r="H91" s="180"/>
      <c r="I91" s="160" t="s">
        <v>152</v>
      </c>
      <c r="J91" s="181" t="e">
        <f>IRR(E88:O88)</f>
        <v>#NUM!</v>
      </c>
      <c r="K91" s="180"/>
      <c r="L91" s="180"/>
      <c r="M91" s="180"/>
      <c r="N91" s="180"/>
      <c r="O91" s="180"/>
    </row>
    <row r="92" spans="1:19" s="97" customFormat="1" x14ac:dyDescent="0.25">
      <c r="A92" s="69"/>
      <c r="C92" s="111"/>
      <c r="E92" s="145"/>
    </row>
    <row r="93" spans="1:19" s="97" customFormat="1" x14ac:dyDescent="0.25">
      <c r="A93" s="69"/>
      <c r="C93" s="111"/>
      <c r="E93" s="145"/>
    </row>
    <row r="94" spans="1:19" x14ac:dyDescent="0.25">
      <c r="B94" s="311"/>
      <c r="C94" s="157"/>
      <c r="D94" s="244" t="s">
        <v>333</v>
      </c>
      <c r="E94" s="159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R94" s="97"/>
      <c r="S94" s="97"/>
    </row>
    <row r="95" spans="1:19" x14ac:dyDescent="0.25">
      <c r="B95" s="311"/>
      <c r="C95" s="148"/>
      <c r="D95" s="69" t="s">
        <v>338</v>
      </c>
      <c r="E95" s="149"/>
      <c r="F95" s="174">
        <v>1</v>
      </c>
      <c r="G95" s="130">
        <v>2</v>
      </c>
      <c r="H95" s="130">
        <v>3</v>
      </c>
      <c r="I95" s="130">
        <v>4</v>
      </c>
      <c r="J95" s="130">
        <v>5</v>
      </c>
      <c r="K95" s="130">
        <v>6</v>
      </c>
      <c r="L95" s="130">
        <v>7</v>
      </c>
      <c r="M95" s="130">
        <v>8</v>
      </c>
      <c r="N95" s="130">
        <v>9</v>
      </c>
      <c r="O95" s="130">
        <v>10</v>
      </c>
      <c r="R95" s="97"/>
      <c r="S95" s="97"/>
    </row>
    <row r="96" spans="1:19" x14ac:dyDescent="0.25">
      <c r="B96" s="311"/>
      <c r="C96" s="148"/>
      <c r="D96" s="69" t="s">
        <v>339</v>
      </c>
      <c r="E96" s="175"/>
      <c r="F96" s="176">
        <f>-PMT(E62,10,0.3*E48,0,1)</f>
        <v>0</v>
      </c>
      <c r="G96" s="176">
        <f>F96</f>
        <v>0</v>
      </c>
      <c r="H96" s="176">
        <f t="shared" ref="H96:O96" si="10">G96</f>
        <v>0</v>
      </c>
      <c r="I96" s="176">
        <f t="shared" si="10"/>
        <v>0</v>
      </c>
      <c r="J96" s="176">
        <f t="shared" si="10"/>
        <v>0</v>
      </c>
      <c r="K96" s="176">
        <f t="shared" si="10"/>
        <v>0</v>
      </c>
      <c r="L96" s="176">
        <f t="shared" si="10"/>
        <v>0</v>
      </c>
      <c r="M96" s="176">
        <f t="shared" si="10"/>
        <v>0</v>
      </c>
      <c r="N96" s="176">
        <f t="shared" si="10"/>
        <v>0</v>
      </c>
      <c r="O96" s="176">
        <f t="shared" si="10"/>
        <v>0</v>
      </c>
      <c r="R96" s="97"/>
      <c r="S96" s="97"/>
    </row>
    <row r="97" spans="1:19" x14ac:dyDescent="0.25">
      <c r="B97" s="311"/>
      <c r="C97" s="148"/>
      <c r="D97" s="69" t="s">
        <v>340</v>
      </c>
      <c r="E97" s="175"/>
      <c r="F97" s="176">
        <f>E50</f>
        <v>16000</v>
      </c>
      <c r="G97" s="176">
        <f>F97*(1+$E$63)</f>
        <v>16239.999999999998</v>
      </c>
      <c r="H97" s="176">
        <f t="shared" ref="H97:O97" si="11">G97*(1+$E$63)</f>
        <v>16483.599999999995</v>
      </c>
      <c r="I97" s="176">
        <f t="shared" si="11"/>
        <v>16730.853999999992</v>
      </c>
      <c r="J97" s="176">
        <f t="shared" si="11"/>
        <v>16981.816809999989</v>
      </c>
      <c r="K97" s="176">
        <f t="shared" si="11"/>
        <v>17236.544062149987</v>
      </c>
      <c r="L97" s="176">
        <f t="shared" si="11"/>
        <v>17495.092223082236</v>
      </c>
      <c r="M97" s="176">
        <f t="shared" si="11"/>
        <v>17757.518606428468</v>
      </c>
      <c r="N97" s="176">
        <f t="shared" si="11"/>
        <v>18023.881385524892</v>
      </c>
      <c r="O97" s="176">
        <f t="shared" si="11"/>
        <v>18294.239606307765</v>
      </c>
      <c r="R97" s="97"/>
      <c r="S97" s="97"/>
    </row>
    <row r="98" spans="1:19" x14ac:dyDescent="0.25">
      <c r="B98" s="311"/>
      <c r="C98" s="148"/>
      <c r="D98" s="69" t="s">
        <v>342</v>
      </c>
      <c r="E98" s="175"/>
      <c r="F98" s="176">
        <v>0</v>
      </c>
      <c r="G98" s="176">
        <v>0</v>
      </c>
      <c r="H98" s="176">
        <v>0</v>
      </c>
      <c r="I98" s="176">
        <v>0</v>
      </c>
      <c r="J98" s="176">
        <v>0</v>
      </c>
      <c r="K98" s="176">
        <v>0</v>
      </c>
      <c r="L98" s="176">
        <v>0</v>
      </c>
      <c r="M98" s="176">
        <v>0</v>
      </c>
      <c r="N98" s="176">
        <v>0</v>
      </c>
      <c r="O98" s="176">
        <v>0</v>
      </c>
      <c r="R98" s="97"/>
      <c r="S98" s="97"/>
    </row>
    <row r="99" spans="1:19" x14ac:dyDescent="0.25">
      <c r="B99" s="311"/>
      <c r="C99" s="148"/>
      <c r="D99" s="69" t="s">
        <v>341</v>
      </c>
      <c r="E99" s="175"/>
      <c r="F99" s="285">
        <f>F73</f>
        <v>0</v>
      </c>
      <c r="G99" s="176">
        <f>F99*(1+$E$64)</f>
        <v>0</v>
      </c>
      <c r="H99" s="176">
        <f t="shared" ref="H99:O99" si="12">G99*(1+$E$64)</f>
        <v>0</v>
      </c>
      <c r="I99" s="176">
        <f t="shared" si="12"/>
        <v>0</v>
      </c>
      <c r="J99" s="176">
        <f t="shared" si="12"/>
        <v>0</v>
      </c>
      <c r="K99" s="176">
        <f t="shared" si="12"/>
        <v>0</v>
      </c>
      <c r="L99" s="176">
        <f t="shared" si="12"/>
        <v>0</v>
      </c>
      <c r="M99" s="176">
        <f t="shared" si="12"/>
        <v>0</v>
      </c>
      <c r="N99" s="176">
        <f t="shared" si="12"/>
        <v>0</v>
      </c>
      <c r="O99" s="176">
        <f t="shared" si="12"/>
        <v>0</v>
      </c>
      <c r="R99" s="97"/>
      <c r="S99" s="97"/>
    </row>
    <row r="100" spans="1:19" x14ac:dyDescent="0.25">
      <c r="B100" s="311"/>
      <c r="C100" s="148"/>
      <c r="D100" s="69"/>
      <c r="E100" s="175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R100" s="97"/>
      <c r="S100" s="97"/>
    </row>
    <row r="101" spans="1:19" x14ac:dyDescent="0.25">
      <c r="B101" s="311"/>
      <c r="C101" s="148"/>
      <c r="D101" s="69" t="s">
        <v>150</v>
      </c>
      <c r="E101" s="175">
        <f>-0.3*E48</f>
        <v>0</v>
      </c>
      <c r="F101" s="178">
        <f>F99+F98-F97-F96</f>
        <v>-16000</v>
      </c>
      <c r="G101" s="178">
        <f t="shared" ref="G101:O101" si="13">G99+G98-G97-G96</f>
        <v>-16239.999999999998</v>
      </c>
      <c r="H101" s="178">
        <f t="shared" si="13"/>
        <v>-16483.599999999995</v>
      </c>
      <c r="I101" s="178">
        <f t="shared" si="13"/>
        <v>-16730.853999999992</v>
      </c>
      <c r="J101" s="178">
        <f t="shared" si="13"/>
        <v>-16981.816809999989</v>
      </c>
      <c r="K101" s="178">
        <f t="shared" si="13"/>
        <v>-17236.544062149987</v>
      </c>
      <c r="L101" s="178">
        <f t="shared" si="13"/>
        <v>-17495.092223082236</v>
      </c>
      <c r="M101" s="178">
        <f t="shared" si="13"/>
        <v>-17757.518606428468</v>
      </c>
      <c r="N101" s="178">
        <f>N99+N98-N97-N96</f>
        <v>-18023.881385524892</v>
      </c>
      <c r="O101" s="178">
        <f t="shared" si="13"/>
        <v>-18294.239606307765</v>
      </c>
      <c r="R101" s="97"/>
      <c r="S101" s="97"/>
    </row>
    <row r="102" spans="1:19" x14ac:dyDescent="0.25">
      <c r="B102" s="311"/>
      <c r="C102" s="148"/>
      <c r="D102" s="69" t="s">
        <v>413</v>
      </c>
      <c r="E102" s="149">
        <f>E101</f>
        <v>0</v>
      </c>
      <c r="F102" s="149">
        <f>E102+F101</f>
        <v>-16000</v>
      </c>
      <c r="G102" s="149">
        <f>F102+G101</f>
        <v>-32240</v>
      </c>
      <c r="H102" s="149">
        <f t="shared" ref="H102:O102" si="14">G102+H101</f>
        <v>-48723.599999999991</v>
      </c>
      <c r="I102" s="149">
        <f t="shared" si="14"/>
        <v>-65454.453999999983</v>
      </c>
      <c r="J102" s="149">
        <f t="shared" si="14"/>
        <v>-82436.270809999973</v>
      </c>
      <c r="K102" s="149">
        <f>J102+K101</f>
        <v>-99672.81487214996</v>
      </c>
      <c r="L102" s="149">
        <f t="shared" si="14"/>
        <v>-117167.90709523219</v>
      </c>
      <c r="M102" s="149">
        <f t="shared" si="14"/>
        <v>-134925.42570166066</v>
      </c>
      <c r="N102" s="149">
        <f t="shared" si="14"/>
        <v>-152949.30708718556</v>
      </c>
      <c r="O102" s="149">
        <f t="shared" si="14"/>
        <v>-171243.54669349332</v>
      </c>
      <c r="R102" s="97"/>
      <c r="S102" s="97"/>
    </row>
    <row r="103" spans="1:19" x14ac:dyDescent="0.25">
      <c r="B103" s="311"/>
      <c r="C103" s="148"/>
      <c r="D103" s="69"/>
      <c r="E103" s="14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R103" s="97"/>
      <c r="S103" s="97"/>
    </row>
    <row r="104" spans="1:19" x14ac:dyDescent="0.25">
      <c r="B104" s="311"/>
      <c r="C104" s="148"/>
      <c r="D104" s="69"/>
      <c r="E104" s="149"/>
      <c r="F104" s="69"/>
      <c r="G104" s="69"/>
      <c r="H104" s="69"/>
      <c r="I104" s="69" t="s">
        <v>151</v>
      </c>
      <c r="J104" s="179">
        <f>SUM(F101:O101)</f>
        <v>-171243.54669349332</v>
      </c>
      <c r="K104" s="69"/>
      <c r="L104" s="69"/>
      <c r="M104" s="69"/>
      <c r="N104" s="69"/>
      <c r="O104" s="69"/>
      <c r="R104" s="97"/>
      <c r="S104" s="97"/>
    </row>
    <row r="105" spans="1:19" x14ac:dyDescent="0.25">
      <c r="B105" s="311"/>
      <c r="C105" s="160"/>
      <c r="D105" s="180"/>
      <c r="E105" s="150"/>
      <c r="F105" s="180"/>
      <c r="G105" s="180"/>
      <c r="H105" s="180"/>
      <c r="I105" s="160" t="s">
        <v>152</v>
      </c>
      <c r="J105" s="181" t="e">
        <f>IRR(E101:O101)</f>
        <v>#NUM!</v>
      </c>
      <c r="K105" s="180"/>
      <c r="L105" s="180"/>
      <c r="M105" s="180"/>
      <c r="N105" s="180"/>
      <c r="O105" s="180"/>
      <c r="R105" s="97"/>
      <c r="S105" s="97"/>
    </row>
    <row r="106" spans="1:19" s="97" customFormat="1" x14ac:dyDescent="0.25">
      <c r="A106" s="69"/>
      <c r="C106" s="111"/>
      <c r="E106" s="145"/>
    </row>
    <row r="107" spans="1:19" s="97" customFormat="1" x14ac:dyDescent="0.25">
      <c r="A107" s="69"/>
      <c r="C107" s="111"/>
      <c r="E107" s="145"/>
    </row>
    <row r="108" spans="1:19" s="97" customFormat="1" x14ac:dyDescent="0.25">
      <c r="A108" s="69"/>
      <c r="C108" s="111"/>
      <c r="E108" s="145"/>
    </row>
    <row r="109" spans="1:19" s="97" customFormat="1" x14ac:dyDescent="0.25">
      <c r="A109" s="69"/>
      <c r="C109" s="111"/>
      <c r="E109" s="145"/>
    </row>
    <row r="110" spans="1:19" s="97" customFormat="1" x14ac:dyDescent="0.25">
      <c r="A110" s="69"/>
      <c r="C110" s="111"/>
      <c r="E110" s="145"/>
    </row>
    <row r="111" spans="1:19" s="97" customFormat="1" x14ac:dyDescent="0.25">
      <c r="A111" s="69"/>
      <c r="C111" s="111"/>
      <c r="E111" s="145"/>
    </row>
    <row r="112" spans="1:19" s="97" customFormat="1" x14ac:dyDescent="0.25">
      <c r="A112" s="69"/>
      <c r="C112" s="111"/>
      <c r="E112" s="145"/>
    </row>
    <row r="113" spans="1:5" s="97" customFormat="1" x14ac:dyDescent="0.25">
      <c r="A113" s="69"/>
      <c r="C113" s="111"/>
      <c r="E113" s="145"/>
    </row>
    <row r="114" spans="1:5" s="97" customFormat="1" x14ac:dyDescent="0.25">
      <c r="A114" s="69"/>
      <c r="C114" s="111"/>
      <c r="E114" s="145"/>
    </row>
    <row r="115" spans="1:5" s="97" customFormat="1" x14ac:dyDescent="0.25">
      <c r="A115" s="69"/>
      <c r="C115" s="111"/>
      <c r="E115" s="145"/>
    </row>
    <row r="116" spans="1:5" s="97" customFormat="1" x14ac:dyDescent="0.25">
      <c r="A116" s="69"/>
      <c r="C116" s="111"/>
      <c r="E116" s="145"/>
    </row>
    <row r="117" spans="1:5" s="97" customFormat="1" x14ac:dyDescent="0.25">
      <c r="A117" s="69"/>
      <c r="C117" s="111"/>
      <c r="E117" s="145"/>
    </row>
    <row r="118" spans="1:5" s="97" customFormat="1" x14ac:dyDescent="0.25">
      <c r="A118" s="69"/>
      <c r="C118" s="111"/>
      <c r="E118" s="145"/>
    </row>
    <row r="119" spans="1:5" s="97" customFormat="1" x14ac:dyDescent="0.25">
      <c r="A119" s="69"/>
      <c r="C119" s="111"/>
      <c r="E119" s="145"/>
    </row>
    <row r="120" spans="1:5" s="97" customFormat="1" x14ac:dyDescent="0.25">
      <c r="A120" s="69"/>
      <c r="C120" s="111"/>
      <c r="E120" s="145"/>
    </row>
    <row r="121" spans="1:5" s="97" customFormat="1" x14ac:dyDescent="0.25">
      <c r="A121" s="69"/>
      <c r="C121" s="111"/>
      <c r="E121" s="145"/>
    </row>
    <row r="122" spans="1:5" s="97" customFormat="1" x14ac:dyDescent="0.25">
      <c r="A122" s="69"/>
      <c r="C122" s="111"/>
      <c r="E122" s="145"/>
    </row>
    <row r="123" spans="1:5" s="97" customFormat="1" x14ac:dyDescent="0.25">
      <c r="A123" s="69"/>
      <c r="C123" s="111"/>
      <c r="E123" s="145"/>
    </row>
    <row r="124" spans="1:5" s="97" customFormat="1" x14ac:dyDescent="0.25">
      <c r="A124" s="69"/>
      <c r="C124" s="111"/>
      <c r="E124" s="145"/>
    </row>
    <row r="125" spans="1:5" s="97" customFormat="1" x14ac:dyDescent="0.25">
      <c r="A125" s="69"/>
      <c r="C125" s="111"/>
      <c r="E125" s="145"/>
    </row>
    <row r="126" spans="1:5" s="97" customFormat="1" x14ac:dyDescent="0.25">
      <c r="A126" s="69"/>
      <c r="C126" s="111"/>
      <c r="E126" s="145"/>
    </row>
    <row r="127" spans="1:5" s="97" customFormat="1" x14ac:dyDescent="0.25">
      <c r="A127" s="69"/>
      <c r="C127" s="111"/>
      <c r="E127" s="145"/>
    </row>
    <row r="128" spans="1:5" s="97" customFormat="1" x14ac:dyDescent="0.25">
      <c r="A128" s="69"/>
      <c r="C128" s="111"/>
      <c r="E128" s="145"/>
    </row>
    <row r="129" spans="1:5" s="97" customFormat="1" x14ac:dyDescent="0.25">
      <c r="A129" s="69"/>
      <c r="C129" s="111"/>
      <c r="E129" s="145"/>
    </row>
    <row r="130" spans="1:5" s="97" customFormat="1" x14ac:dyDescent="0.25">
      <c r="A130" s="69"/>
      <c r="C130" s="111"/>
      <c r="E130" s="145"/>
    </row>
    <row r="131" spans="1:5" s="97" customFormat="1" x14ac:dyDescent="0.25">
      <c r="A131" s="69"/>
      <c r="C131" s="111"/>
      <c r="E131" s="145"/>
    </row>
    <row r="132" spans="1:5" s="97" customFormat="1" x14ac:dyDescent="0.25">
      <c r="A132" s="69"/>
      <c r="C132" s="111"/>
      <c r="E132" s="145"/>
    </row>
    <row r="133" spans="1:5" s="97" customFormat="1" x14ac:dyDescent="0.25">
      <c r="A133" s="69"/>
      <c r="C133" s="111"/>
      <c r="E133" s="145"/>
    </row>
    <row r="134" spans="1:5" s="97" customFormat="1" x14ac:dyDescent="0.25">
      <c r="A134" s="69"/>
      <c r="C134" s="111"/>
      <c r="E134" s="145"/>
    </row>
    <row r="135" spans="1:5" s="97" customFormat="1" x14ac:dyDescent="0.25">
      <c r="A135" s="69"/>
      <c r="C135" s="111"/>
      <c r="E135" s="145"/>
    </row>
    <row r="136" spans="1:5" s="97" customFormat="1" x14ac:dyDescent="0.25">
      <c r="A136" s="69"/>
      <c r="C136" s="111"/>
      <c r="E136" s="145"/>
    </row>
    <row r="137" spans="1:5" s="97" customFormat="1" x14ac:dyDescent="0.25">
      <c r="A137" s="69"/>
      <c r="C137" s="111"/>
      <c r="E137" s="145"/>
    </row>
    <row r="138" spans="1:5" s="97" customFormat="1" x14ac:dyDescent="0.25">
      <c r="A138" s="69"/>
      <c r="C138" s="111"/>
      <c r="E138" s="145"/>
    </row>
    <row r="139" spans="1:5" x14ac:dyDescent="0.25">
      <c r="B139" s="97"/>
      <c r="C139" s="111"/>
    </row>
    <row r="140" spans="1:5" x14ac:dyDescent="0.25">
      <c r="B140" s="97"/>
      <c r="C140" s="111"/>
    </row>
  </sheetData>
  <sheetProtection algorithmName="SHA-512" hashValue="TBIQaa+gEJ5WjZ/6W2wkqNGQRAYMRXX0pIySysnkWUhRIqICaO9F7L4IYdmWSkr8zZrhoaK/yxFCotSfZpiXTA==" saltValue="Z4NEdChkg/YhqPTGq2rpew==" spinCount="100000" sheet="1" selectLockedCells="1"/>
  <mergeCells count="17">
    <mergeCell ref="G29:I29"/>
    <mergeCell ref="B12:B24"/>
    <mergeCell ref="C12:D12"/>
    <mergeCell ref="C13:D13"/>
    <mergeCell ref="B29:B39"/>
    <mergeCell ref="B94:B105"/>
    <mergeCell ref="B43:B51"/>
    <mergeCell ref="B55:B58"/>
    <mergeCell ref="B62:B64"/>
    <mergeCell ref="B68:B78"/>
    <mergeCell ref="B81:B91"/>
    <mergeCell ref="B2:K2"/>
    <mergeCell ref="B3:C3"/>
    <mergeCell ref="E3:F3"/>
    <mergeCell ref="J3:K3"/>
    <mergeCell ref="B7:B8"/>
    <mergeCell ref="E7:G7"/>
  </mergeCells>
  <conditionalFormatting sqref="E102:O102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J105">
    <cfRule type="cellIs" dxfId="5" priority="3" operator="lessThan">
      <formula>0</formula>
    </cfRule>
    <cfRule type="cellIs" dxfId="4" priority="6" operator="greaterThan">
      <formula>0</formula>
    </cfRule>
  </conditionalFormatting>
  <conditionalFormatting sqref="J91"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J78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1">
    <dataValidation type="list" allowBlank="1" showInputMessage="1" showErrorMessage="1" promptTitle="..." sqref="H7">
      <formula1>company_name</formula1>
    </dataValidation>
  </dataValidations>
  <pageMargins left="0.7" right="0.7" top="0.75" bottom="0.75" header="0.3" footer="0.3"/>
  <pageSetup paperSize="9" scale="55" fitToHeight="0" orientation="landscape" r:id="rId1"/>
  <rowBreaks count="2" manualBreakCount="2">
    <brk id="39" max="16383" man="1"/>
    <brk id="6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AW60"/>
  <sheetViews>
    <sheetView topLeftCell="A2" zoomScale="65" zoomScaleNormal="65" workbookViewId="0">
      <selection activeCell="E21" sqref="E21"/>
    </sheetView>
  </sheetViews>
  <sheetFormatPr defaultRowHeight="15" x14ac:dyDescent="0.25"/>
  <cols>
    <col min="1" max="1" width="19.28515625" style="28" customWidth="1"/>
    <col min="4" max="4" width="9.28515625" bestFit="1" customWidth="1"/>
    <col min="10" max="10" width="13.7109375" customWidth="1"/>
    <col min="11" max="11" width="12.42578125" customWidth="1"/>
    <col min="12" max="12" width="7.42578125" customWidth="1"/>
    <col min="17" max="17" width="12.7109375" bestFit="1" customWidth="1"/>
    <col min="18" max="18" width="9.28515625" bestFit="1" customWidth="1"/>
    <col min="24" max="24" width="15.5703125" customWidth="1"/>
    <col min="25" max="25" width="9.28515625" bestFit="1" customWidth="1"/>
    <col min="28" max="28" width="5.140625" customWidth="1"/>
    <col min="29" max="49" width="9.140625" style="28"/>
  </cols>
  <sheetData>
    <row r="1" spans="2:28" s="28" customFormat="1" ht="59.25" customHeight="1" x14ac:dyDescent="0.25"/>
    <row r="2" spans="2:28" x14ac:dyDescent="0.25">
      <c r="B2" s="319" t="s">
        <v>343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</row>
    <row r="3" spans="2:28" x14ac:dyDescent="0.25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</row>
    <row r="4" spans="2:28" s="28" customFormat="1" x14ac:dyDescent="0.25"/>
    <row r="5" spans="2:28" ht="23.25" x14ac:dyDescent="0.35">
      <c r="B5" s="321" t="s">
        <v>344</v>
      </c>
      <c r="C5" s="321"/>
      <c r="D5" s="321"/>
      <c r="E5" s="321"/>
      <c r="F5" s="321"/>
      <c r="G5" s="321"/>
      <c r="H5" s="25"/>
      <c r="I5" s="321" t="s">
        <v>345</v>
      </c>
      <c r="J5" s="321"/>
      <c r="K5" s="321"/>
      <c r="L5" s="321"/>
      <c r="M5" s="321"/>
      <c r="N5" s="321"/>
      <c r="P5" s="321" t="s">
        <v>270</v>
      </c>
      <c r="Q5" s="321"/>
      <c r="R5" s="321"/>
      <c r="S5" s="321"/>
      <c r="T5" s="321"/>
      <c r="U5" s="321"/>
      <c r="W5" s="321" t="s">
        <v>346</v>
      </c>
      <c r="X5" s="321"/>
      <c r="Y5" s="321"/>
      <c r="Z5" s="321"/>
      <c r="AA5" s="321"/>
      <c r="AB5" s="321"/>
    </row>
    <row r="6" spans="2:28" s="28" customFormat="1" x14ac:dyDescent="0.25"/>
    <row r="7" spans="2:28" s="28" customFormat="1" x14ac:dyDescent="0.25"/>
    <row r="8" spans="2:28" s="28" customFormat="1" x14ac:dyDescent="0.25"/>
    <row r="9" spans="2:28" s="28" customFormat="1" x14ac:dyDescent="0.25"/>
    <row r="10" spans="2:28" s="28" customFormat="1" x14ac:dyDescent="0.25"/>
    <row r="11" spans="2:28" s="28" customFormat="1" x14ac:dyDescent="0.25"/>
    <row r="12" spans="2:28" s="28" customFormat="1" x14ac:dyDescent="0.25"/>
    <row r="13" spans="2:28" s="28" customFormat="1" x14ac:dyDescent="0.25">
      <c r="B13" s="323"/>
      <c r="C13" s="323"/>
      <c r="D13" s="323"/>
      <c r="E13" s="323"/>
      <c r="F13" s="323"/>
      <c r="G13" s="323"/>
    </row>
    <row r="14" spans="2:28" s="28" customFormat="1" x14ac:dyDescent="0.25"/>
    <row r="15" spans="2:28" s="28" customFormat="1" x14ac:dyDescent="0.25"/>
    <row r="16" spans="2:28" s="28" customFormat="1" x14ac:dyDescent="0.25">
      <c r="J16" s="325">
        <f>'AD analiza'!E39</f>
        <v>9</v>
      </c>
      <c r="K16" s="325"/>
      <c r="L16" s="326" t="s">
        <v>146</v>
      </c>
      <c r="M16" s="326"/>
    </row>
    <row r="17" spans="2:28" s="28" customFormat="1" x14ac:dyDescent="0.25">
      <c r="J17" s="325" t="str">
        <f>'AD analiza'!E42</f>
        <v>STERLING</v>
      </c>
      <c r="K17" s="325"/>
      <c r="L17" s="326" t="s">
        <v>383</v>
      </c>
      <c r="M17" s="326"/>
    </row>
    <row r="18" spans="2:28" s="28" customFormat="1" x14ac:dyDescent="0.25"/>
    <row r="19" spans="2:28" s="28" customFormat="1" x14ac:dyDescent="0.25">
      <c r="I19" s="26"/>
      <c r="J19" s="26"/>
      <c r="K19" s="26"/>
      <c r="L19" s="26"/>
      <c r="M19" s="26"/>
      <c r="N19" s="26"/>
      <c r="P19" s="324"/>
      <c r="Q19" s="324"/>
      <c r="R19" s="324"/>
      <c r="S19" s="324"/>
      <c r="T19" s="324"/>
      <c r="U19" s="324"/>
    </row>
    <row r="20" spans="2:28" s="28" customFormat="1" x14ac:dyDescent="0.25">
      <c r="B20" s="322" t="s">
        <v>347</v>
      </c>
      <c r="C20" s="322"/>
      <c r="D20" s="322"/>
      <c r="E20" s="322"/>
      <c r="F20" s="322"/>
      <c r="G20" s="322"/>
      <c r="I20" s="322" t="s">
        <v>350</v>
      </c>
      <c r="J20" s="322"/>
      <c r="K20" s="322"/>
      <c r="L20" s="322"/>
      <c r="M20" s="322"/>
      <c r="N20" s="322"/>
      <c r="P20" s="322" t="s">
        <v>359</v>
      </c>
      <c r="Q20" s="322"/>
      <c r="R20" s="322"/>
      <c r="S20" s="322"/>
      <c r="T20" s="322"/>
      <c r="U20" s="322"/>
      <c r="W20" s="322" t="s">
        <v>362</v>
      </c>
      <c r="X20" s="322"/>
      <c r="Y20" s="322"/>
      <c r="Z20" s="322"/>
      <c r="AA20" s="322"/>
      <c r="AB20" s="322"/>
    </row>
    <row r="21" spans="2:28" s="28" customFormat="1" x14ac:dyDescent="0.25">
      <c r="B21" s="27" t="s">
        <v>348</v>
      </c>
      <c r="C21" s="27"/>
      <c r="D21" s="45">
        <f>'Analiza polj. gospodarstva'!H17</f>
        <v>0</v>
      </c>
      <c r="E21" s="48" t="s">
        <v>162</v>
      </c>
      <c r="F21" s="27"/>
      <c r="G21" s="27"/>
      <c r="I21" s="28" t="s">
        <v>41</v>
      </c>
      <c r="K21" s="43">
        <f>'AD analiza'!E19</f>
        <v>55</v>
      </c>
      <c r="L21" s="41" t="s">
        <v>253</v>
      </c>
      <c r="M21" s="41"/>
      <c r="P21" s="28" t="s">
        <v>377</v>
      </c>
      <c r="R21" s="28" t="str">
        <f>'AD analiza'!E40</f>
        <v>STERLING</v>
      </c>
      <c r="W21" s="28" t="s">
        <v>363</v>
      </c>
      <c r="Y21" s="28">
        <f>'AD analiza'!F78</f>
        <v>0</v>
      </c>
      <c r="Z21" s="28" t="s">
        <v>309</v>
      </c>
    </row>
    <row r="22" spans="2:28" s="28" customFormat="1" x14ac:dyDescent="0.25">
      <c r="B22" s="28" t="s">
        <v>311</v>
      </c>
      <c r="D22" s="43">
        <f>'Analiza polj. gospodarstva'!D54+'Analiza polj. gospodarstva'!D58</f>
        <v>0</v>
      </c>
      <c r="E22" s="28" t="s">
        <v>309</v>
      </c>
      <c r="I22" s="28" t="s">
        <v>351</v>
      </c>
      <c r="K22" s="30" t="e">
        <f>'AD analiza'!E24</f>
        <v>#DIV/0!</v>
      </c>
      <c r="L22" s="42" t="s">
        <v>352</v>
      </c>
      <c r="M22" s="41"/>
      <c r="W22" s="28" t="s">
        <v>364</v>
      </c>
      <c r="Y22" s="28">
        <f>'AD analiza'!F79</f>
        <v>0</v>
      </c>
      <c r="Z22" s="28" t="s">
        <v>309</v>
      </c>
    </row>
    <row r="23" spans="2:28" s="28" customFormat="1" x14ac:dyDescent="0.25">
      <c r="B23" s="28" t="s">
        <v>310</v>
      </c>
      <c r="D23" s="43">
        <f>'Analiza polj. gospodarstva'!D53+'Analiza polj. gospodarstva'!D57+'Analiza polj. gospodarstva'!D59</f>
        <v>0</v>
      </c>
      <c r="E23" s="28" t="s">
        <v>309</v>
      </c>
      <c r="I23" s="28" t="s">
        <v>256</v>
      </c>
      <c r="J23" s="32"/>
      <c r="K23" s="33">
        <f>'AD analiza'!N12</f>
        <v>1</v>
      </c>
      <c r="L23" s="41"/>
      <c r="M23" s="41"/>
      <c r="P23" s="28" t="s">
        <v>360</v>
      </c>
      <c r="R23" s="34">
        <f>'AD analiza'!F61</f>
        <v>0</v>
      </c>
      <c r="S23" s="28" t="s">
        <v>294</v>
      </c>
      <c r="W23" s="28" t="s">
        <v>365</v>
      </c>
      <c r="Y23" s="34">
        <f>'AD analiza'!F80</f>
        <v>0</v>
      </c>
      <c r="Z23" s="28" t="s">
        <v>309</v>
      </c>
    </row>
    <row r="24" spans="2:28" s="28" customFormat="1" x14ac:dyDescent="0.25">
      <c r="B24" s="28" t="s">
        <v>236</v>
      </c>
      <c r="D24" s="43">
        <f>'Analiza polj. gospodarstva'!D61</f>
        <v>0</v>
      </c>
      <c r="E24" s="28" t="s">
        <v>309</v>
      </c>
      <c r="I24" s="28" t="s">
        <v>257</v>
      </c>
      <c r="K24" s="32">
        <f>'AD analiza'!N13</f>
        <v>0</v>
      </c>
      <c r="L24" s="40" t="s">
        <v>255</v>
      </c>
      <c r="M24" s="41"/>
      <c r="P24" s="28" t="s">
        <v>361</v>
      </c>
      <c r="R24" s="34">
        <f>'AD analiza'!F62</f>
        <v>-9600</v>
      </c>
      <c r="S24" s="28" t="s">
        <v>294</v>
      </c>
    </row>
    <row r="25" spans="2:28" s="28" customFormat="1" x14ac:dyDescent="0.25">
      <c r="B25" s="29" t="s">
        <v>349</v>
      </c>
      <c r="C25" s="29"/>
      <c r="D25" s="46">
        <f>SUM(D22:D24)</f>
        <v>0</v>
      </c>
      <c r="E25" s="29" t="s">
        <v>309</v>
      </c>
      <c r="F25" s="29"/>
      <c r="G25" s="29"/>
      <c r="I25" s="28" t="s">
        <v>258</v>
      </c>
      <c r="J25" s="27"/>
      <c r="K25" s="30">
        <f>'AD analiza'!N17</f>
        <v>0</v>
      </c>
      <c r="L25" s="41" t="s">
        <v>139</v>
      </c>
      <c r="M25" s="41"/>
    </row>
    <row r="26" spans="2:28" s="28" customFormat="1" x14ac:dyDescent="0.25">
      <c r="B26" s="26"/>
      <c r="C26" s="26"/>
      <c r="D26" s="26"/>
      <c r="E26" s="26"/>
      <c r="F26" s="26"/>
      <c r="G26" s="26"/>
      <c r="I26" s="26"/>
      <c r="J26" s="26"/>
      <c r="K26" s="26"/>
      <c r="L26" s="26"/>
      <c r="M26" s="26"/>
      <c r="N26" s="26"/>
      <c r="P26" s="26"/>
      <c r="Q26" s="26"/>
      <c r="R26" s="26"/>
      <c r="S26" s="26"/>
      <c r="T26" s="26"/>
      <c r="U26" s="26"/>
      <c r="W26" s="26"/>
      <c r="X26" s="26"/>
      <c r="Y26" s="26"/>
      <c r="Z26" s="26"/>
      <c r="AA26" s="26"/>
      <c r="AB26" s="26"/>
    </row>
    <row r="27" spans="2:28" s="28" customFormat="1" x14ac:dyDescent="0.25"/>
    <row r="28" spans="2:28" s="28" customFormat="1" x14ac:dyDescent="0.25">
      <c r="I28" s="322" t="s">
        <v>353</v>
      </c>
      <c r="J28" s="322"/>
      <c r="K28" s="322"/>
      <c r="L28" s="322"/>
      <c r="M28" s="322"/>
      <c r="N28" s="322"/>
    </row>
    <row r="29" spans="2:28" s="28" customFormat="1" x14ac:dyDescent="0.25">
      <c r="I29" s="28" t="s">
        <v>354</v>
      </c>
      <c r="K29" s="43">
        <f>'Analiza polj. gospodarstva'!L70</f>
        <v>0</v>
      </c>
      <c r="L29" s="31" t="s">
        <v>357</v>
      </c>
    </row>
    <row r="30" spans="2:28" s="28" customFormat="1" x14ac:dyDescent="0.25">
      <c r="K30" s="30">
        <f>'Analiza polj. gospodarstva'!N70</f>
        <v>0</v>
      </c>
      <c r="L30" s="35" t="s">
        <v>358</v>
      </c>
    </row>
    <row r="31" spans="2:28" s="28" customFormat="1" x14ac:dyDescent="0.25">
      <c r="J31" s="32"/>
      <c r="K31" s="33"/>
    </row>
    <row r="32" spans="2:28" s="28" customFormat="1" x14ac:dyDescent="0.25">
      <c r="I32" s="28" t="s">
        <v>355</v>
      </c>
      <c r="K32" s="32">
        <f>'AD analiza'!E32</f>
        <v>0</v>
      </c>
      <c r="L32" s="31" t="s">
        <v>268</v>
      </c>
    </row>
    <row r="33" spans="9:17" s="28" customFormat="1" x14ac:dyDescent="0.25">
      <c r="I33" s="28" t="s">
        <v>356</v>
      </c>
      <c r="J33" s="27"/>
      <c r="K33" s="30"/>
      <c r="L33" s="31" t="s">
        <v>268</v>
      </c>
    </row>
    <row r="34" spans="9:17" s="28" customFormat="1" x14ac:dyDescent="0.25">
      <c r="I34" s="26"/>
      <c r="J34" s="26"/>
      <c r="K34" s="26"/>
      <c r="L34" s="26"/>
      <c r="M34" s="26"/>
      <c r="N34" s="26"/>
    </row>
    <row r="35" spans="9:17" s="28" customFormat="1" x14ac:dyDescent="0.25"/>
    <row r="36" spans="9:17" s="28" customFormat="1" x14ac:dyDescent="0.25">
      <c r="I36" s="36"/>
      <c r="J36" s="36"/>
      <c r="K36" s="36"/>
      <c r="O36" s="214"/>
      <c r="P36" s="39" t="s">
        <v>378</v>
      </c>
      <c r="Q36" s="39">
        <f>K29</f>
        <v>0</v>
      </c>
    </row>
    <row r="37" spans="9:17" s="28" customFormat="1" x14ac:dyDescent="0.25">
      <c r="I37" s="36"/>
      <c r="J37" s="37"/>
      <c r="K37" s="36"/>
      <c r="O37" s="214"/>
      <c r="P37" s="39" t="s">
        <v>379</v>
      </c>
      <c r="Q37" s="225">
        <f>K30</f>
        <v>0</v>
      </c>
    </row>
    <row r="38" spans="9:17" s="28" customFormat="1" x14ac:dyDescent="0.25">
      <c r="I38" s="36"/>
      <c r="J38" s="36"/>
      <c r="K38" s="36"/>
      <c r="O38" s="214"/>
      <c r="P38" s="214"/>
      <c r="Q38" s="214"/>
    </row>
    <row r="39" spans="9:17" s="28" customFormat="1" x14ac:dyDescent="0.25"/>
    <row r="40" spans="9:17" s="28" customFormat="1" x14ac:dyDescent="0.25"/>
    <row r="41" spans="9:17" s="28" customFormat="1" x14ac:dyDescent="0.25"/>
    <row r="42" spans="9:17" s="28" customFormat="1" x14ac:dyDescent="0.25"/>
    <row r="43" spans="9:17" s="28" customFormat="1" x14ac:dyDescent="0.25"/>
    <row r="44" spans="9:17" s="28" customFormat="1" x14ac:dyDescent="0.25"/>
    <row r="45" spans="9:17" s="28" customFormat="1" x14ac:dyDescent="0.25"/>
    <row r="46" spans="9:17" s="28" customFormat="1" x14ac:dyDescent="0.25"/>
    <row r="47" spans="9:17" s="28" customFormat="1" x14ac:dyDescent="0.25"/>
    <row r="48" spans="9:17" s="28" customFormat="1" x14ac:dyDescent="0.25"/>
    <row r="49" s="28" customFormat="1" x14ac:dyDescent="0.25"/>
    <row r="50" s="28" customFormat="1" x14ac:dyDescent="0.25"/>
    <row r="51" s="28" customFormat="1" x14ac:dyDescent="0.25"/>
    <row r="52" s="28" customFormat="1" x14ac:dyDescent="0.25"/>
    <row r="53" s="28" customFormat="1" x14ac:dyDescent="0.25"/>
    <row r="54" s="28" customFormat="1" x14ac:dyDescent="0.25"/>
    <row r="55" s="28" customFormat="1" x14ac:dyDescent="0.25"/>
    <row r="56" s="28" customFormat="1" x14ac:dyDescent="0.25"/>
    <row r="57" s="28" customFormat="1" x14ac:dyDescent="0.25"/>
    <row r="58" s="28" customFormat="1" x14ac:dyDescent="0.25"/>
    <row r="59" s="28" customFormat="1" x14ac:dyDescent="0.25"/>
    <row r="60" s="28" customFormat="1" x14ac:dyDescent="0.25"/>
  </sheetData>
  <sheetProtection algorithmName="SHA-512" hashValue="xLk0F+/4NjfTZz0C3kTJpblAG8b9DKYscCnMEw1tivLfcbDNH6ZgZ592FsO68SjLqiMPKjMSVUsjVIMFQSXhcw==" saltValue="xS6klUCjcB2B5vtEXD9tTA==" spinCount="100000" sheet="1" selectLockedCells="1"/>
  <mergeCells count="16">
    <mergeCell ref="W20:AB20"/>
    <mergeCell ref="I28:N28"/>
    <mergeCell ref="B13:G13"/>
    <mergeCell ref="P19:U19"/>
    <mergeCell ref="B20:G20"/>
    <mergeCell ref="I20:N20"/>
    <mergeCell ref="P20:U20"/>
    <mergeCell ref="J16:K16"/>
    <mergeCell ref="J17:K17"/>
    <mergeCell ref="L16:M16"/>
    <mergeCell ref="L17:M17"/>
    <mergeCell ref="B2:AB3"/>
    <mergeCell ref="B5:G5"/>
    <mergeCell ref="I5:N5"/>
    <mergeCell ref="P5:U5"/>
    <mergeCell ref="W5:AB5"/>
  </mergeCells>
  <dataValidations count="1">
    <dataValidation type="list" allowBlank="1" showInputMessage="1" showErrorMessage="1" sqref="E21">
      <formula1>livestock_type</formula1>
    </dataValidation>
  </dataValidations>
  <pageMargins left="0.7" right="0.7" top="0.75" bottom="0.75" header="0.3" footer="0.3"/>
  <pageSetup paperSize="9" scale="4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2"/>
  <sheetViews>
    <sheetView zoomScaleNormal="100" workbookViewId="0">
      <pane xSplit="3" ySplit="5" topLeftCell="D6" activePane="bottomRight" state="frozen"/>
      <selection activeCell="F20" sqref="F20"/>
      <selection pane="topRight" activeCell="F20" sqref="F20"/>
      <selection pane="bottomLeft" activeCell="F20" sqref="F20"/>
      <selection pane="bottomRight" activeCell="D5" sqref="D5"/>
    </sheetView>
  </sheetViews>
  <sheetFormatPr defaultRowHeight="15" x14ac:dyDescent="0.25"/>
  <cols>
    <col min="1" max="1" width="2.28515625" customWidth="1"/>
    <col min="3" max="3" width="24.42578125" customWidth="1"/>
    <col min="4" max="4" width="23.140625" style="264" customWidth="1"/>
    <col min="5" max="5" width="31.42578125" customWidth="1"/>
    <col min="6" max="6" width="31.85546875" customWidth="1"/>
    <col min="7" max="7" width="29.7109375" customWidth="1"/>
    <col min="8" max="8" width="29.85546875" customWidth="1"/>
    <col min="9" max="9" width="28.85546875" customWidth="1"/>
    <col min="10" max="10" width="17.85546875" style="18" customWidth="1"/>
    <col min="11" max="11" width="15.28515625" customWidth="1"/>
    <col min="12" max="12" width="12" customWidth="1"/>
    <col min="13" max="13" width="15.7109375" customWidth="1"/>
  </cols>
  <sheetData>
    <row r="1" spans="2:13" x14ac:dyDescent="0.25">
      <c r="D1" s="23"/>
    </row>
    <row r="2" spans="2:13" s="22" customFormat="1" x14ac:dyDescent="0.25">
      <c r="B2" s="22">
        <v>1</v>
      </c>
      <c r="C2" s="22">
        <v>2</v>
      </c>
      <c r="D2" s="265">
        <v>3</v>
      </c>
      <c r="E2" s="22">
        <v>4</v>
      </c>
      <c r="F2" s="22">
        <v>5</v>
      </c>
      <c r="G2" s="22">
        <v>6</v>
      </c>
      <c r="H2" s="22">
        <v>7</v>
      </c>
      <c r="I2" s="22">
        <v>8</v>
      </c>
      <c r="J2" s="22">
        <v>9</v>
      </c>
      <c r="K2" s="22">
        <v>10</v>
      </c>
      <c r="L2" s="22">
        <v>11</v>
      </c>
      <c r="M2" s="22">
        <v>12</v>
      </c>
    </row>
    <row r="3" spans="2:13" x14ac:dyDescent="0.25">
      <c r="B3" t="s">
        <v>171</v>
      </c>
      <c r="D3" s="290">
        <v>1</v>
      </c>
      <c r="H3" t="s">
        <v>104</v>
      </c>
      <c r="I3" t="s">
        <v>105</v>
      </c>
    </row>
    <row r="4" spans="2:13" s="44" customFormat="1" x14ac:dyDescent="0.25">
      <c r="D4" s="290" t="s">
        <v>59</v>
      </c>
      <c r="E4" s="44" t="s">
        <v>59</v>
      </c>
      <c r="F4" s="44" t="s">
        <v>21</v>
      </c>
      <c r="G4" s="44" t="s">
        <v>21</v>
      </c>
      <c r="H4" s="44" t="s">
        <v>21</v>
      </c>
      <c r="I4" s="44" t="s">
        <v>21</v>
      </c>
      <c r="J4" s="19" t="s">
        <v>108</v>
      </c>
      <c r="K4" s="16" t="s">
        <v>109</v>
      </c>
      <c r="L4" s="44" t="s">
        <v>110</v>
      </c>
      <c r="M4" s="44" t="s">
        <v>58</v>
      </c>
    </row>
    <row r="5" spans="2:13" s="6" customFormat="1" ht="13.5" customHeight="1" x14ac:dyDescent="0.25">
      <c r="B5" s="13" t="s">
        <v>60</v>
      </c>
      <c r="C5" s="14" t="s">
        <v>61</v>
      </c>
      <c r="D5" s="291" t="s">
        <v>100</v>
      </c>
      <c r="E5" s="7" t="s">
        <v>101</v>
      </c>
      <c r="F5" s="7" t="s">
        <v>102</v>
      </c>
      <c r="G5" s="7" t="s">
        <v>103</v>
      </c>
      <c r="H5" s="15" t="s">
        <v>106</v>
      </c>
      <c r="I5" s="15" t="s">
        <v>106</v>
      </c>
      <c r="J5" s="20" t="s">
        <v>97</v>
      </c>
      <c r="K5" s="7" t="s">
        <v>98</v>
      </c>
      <c r="L5" s="7" t="s">
        <v>99</v>
      </c>
      <c r="M5" s="7" t="s">
        <v>107</v>
      </c>
    </row>
    <row r="6" spans="2:13" x14ac:dyDescent="0.25">
      <c r="B6" s="12">
        <v>9</v>
      </c>
      <c r="C6" t="s">
        <v>91</v>
      </c>
      <c r="D6" s="263">
        <v>25</v>
      </c>
      <c r="E6" s="4">
        <v>9</v>
      </c>
      <c r="F6" s="17"/>
      <c r="G6" s="17">
        <v>0.28000000000000003</v>
      </c>
      <c r="H6" s="17">
        <v>0.52</v>
      </c>
      <c r="I6" s="17"/>
      <c r="J6" s="21">
        <v>45000</v>
      </c>
      <c r="K6" s="4">
        <v>0.04</v>
      </c>
      <c r="L6" s="4">
        <v>60000</v>
      </c>
      <c r="M6" s="4">
        <v>8000</v>
      </c>
    </row>
    <row r="7" spans="2:13" x14ac:dyDescent="0.25">
      <c r="B7" s="10">
        <v>30</v>
      </c>
      <c r="C7" t="s">
        <v>69</v>
      </c>
      <c r="D7" s="263">
        <v>106</v>
      </c>
      <c r="E7" s="4">
        <v>33</v>
      </c>
      <c r="F7" s="17">
        <v>0.311</v>
      </c>
      <c r="G7" s="17">
        <v>0.28599999999999998</v>
      </c>
      <c r="H7" s="17">
        <v>0.68899999999999995</v>
      </c>
      <c r="I7" s="17">
        <v>0.69899999999999995</v>
      </c>
      <c r="J7" s="21">
        <v>83418</v>
      </c>
      <c r="K7" s="4">
        <v>0.86</v>
      </c>
      <c r="L7" s="4">
        <v>60000</v>
      </c>
      <c r="M7" s="4">
        <v>8100</v>
      </c>
    </row>
    <row r="8" spans="2:13" x14ac:dyDescent="0.25">
      <c r="B8" s="10">
        <v>31</v>
      </c>
      <c r="C8" t="s">
        <v>84</v>
      </c>
      <c r="D8" s="263">
        <v>85</v>
      </c>
      <c r="E8" s="4">
        <v>31</v>
      </c>
      <c r="F8" s="17"/>
      <c r="G8" s="17">
        <v>0.3</v>
      </c>
      <c r="H8" s="17">
        <v>0.55000000000000004</v>
      </c>
      <c r="I8" s="17"/>
      <c r="J8" s="21">
        <v>60000</v>
      </c>
      <c r="K8" s="4">
        <v>1.5</v>
      </c>
      <c r="L8" s="4">
        <v>60000</v>
      </c>
      <c r="M8" s="4">
        <v>8000</v>
      </c>
    </row>
    <row r="9" spans="2:13" x14ac:dyDescent="0.25">
      <c r="B9" s="10">
        <v>34</v>
      </c>
      <c r="C9" t="s">
        <v>70</v>
      </c>
      <c r="D9" s="263">
        <v>88</v>
      </c>
      <c r="E9" s="4">
        <v>34</v>
      </c>
      <c r="F9" s="17"/>
      <c r="G9" s="17">
        <v>0.32900000000000001</v>
      </c>
      <c r="H9" s="17">
        <v>0.47</v>
      </c>
      <c r="I9" s="17"/>
      <c r="J9" s="21">
        <v>65000</v>
      </c>
      <c r="K9" s="4">
        <v>1</v>
      </c>
      <c r="L9" s="4">
        <v>60000</v>
      </c>
      <c r="M9" s="4">
        <v>8100</v>
      </c>
    </row>
    <row r="10" spans="2:13" x14ac:dyDescent="0.25">
      <c r="B10" s="10">
        <v>40</v>
      </c>
      <c r="C10" t="s">
        <v>83</v>
      </c>
      <c r="D10" s="263">
        <v>100</v>
      </c>
      <c r="E10" s="4">
        <v>40</v>
      </c>
      <c r="F10" s="17"/>
      <c r="G10" s="17">
        <v>0.3</v>
      </c>
      <c r="H10" s="17">
        <v>0.55000000000000004</v>
      </c>
      <c r="I10" s="17"/>
      <c r="J10" s="21">
        <v>80000</v>
      </c>
      <c r="K10" s="4">
        <v>3</v>
      </c>
      <c r="L10" s="4">
        <v>60000</v>
      </c>
      <c r="M10" s="4">
        <v>8000</v>
      </c>
    </row>
    <row r="11" spans="2:13" x14ac:dyDescent="0.25">
      <c r="B11" s="10">
        <v>50</v>
      </c>
      <c r="C11" t="s">
        <v>71</v>
      </c>
      <c r="D11" s="263">
        <v>130</v>
      </c>
      <c r="E11" s="4">
        <v>50</v>
      </c>
      <c r="F11" s="17"/>
      <c r="G11" s="17">
        <v>0.36</v>
      </c>
      <c r="H11" s="17">
        <v>0.505</v>
      </c>
      <c r="I11" s="17"/>
      <c r="J11" s="21">
        <v>80000</v>
      </c>
      <c r="K11" s="4">
        <v>1.2</v>
      </c>
      <c r="L11" s="4">
        <v>60000</v>
      </c>
      <c r="M11" s="4">
        <v>8100</v>
      </c>
    </row>
    <row r="12" spans="2:13" x14ac:dyDescent="0.25">
      <c r="B12" s="10">
        <v>60</v>
      </c>
      <c r="C12" t="s">
        <v>68</v>
      </c>
      <c r="D12" s="263">
        <v>183</v>
      </c>
      <c r="E12" s="4">
        <v>65</v>
      </c>
      <c r="F12" s="17">
        <v>0.35499999999999998</v>
      </c>
      <c r="G12" s="17">
        <v>0.33200000000000002</v>
      </c>
      <c r="H12" s="17">
        <v>0.63900000000000001</v>
      </c>
      <c r="I12" s="17">
        <v>0.64900000000000002</v>
      </c>
      <c r="J12" s="21">
        <v>96218</v>
      </c>
      <c r="K12" s="4">
        <v>1.1200000000000001</v>
      </c>
      <c r="L12" s="4">
        <v>60000</v>
      </c>
      <c r="M12" s="4">
        <v>8100</v>
      </c>
    </row>
    <row r="13" spans="2:13" x14ac:dyDescent="0.25">
      <c r="B13" s="10">
        <v>80</v>
      </c>
      <c r="C13" t="s">
        <v>67</v>
      </c>
      <c r="D13" s="263">
        <v>244</v>
      </c>
      <c r="E13" s="4">
        <v>86</v>
      </c>
      <c r="F13" s="17">
        <v>0.35199999999999998</v>
      </c>
      <c r="G13" s="17">
        <v>0.33300000000000002</v>
      </c>
      <c r="H13" s="17">
        <v>0.61499999999999999</v>
      </c>
      <c r="I13" s="17">
        <v>0.625</v>
      </c>
      <c r="J13" s="21">
        <v>114199</v>
      </c>
      <c r="K13" s="4">
        <v>1.28</v>
      </c>
      <c r="L13" s="4">
        <v>60000</v>
      </c>
      <c r="M13" s="4">
        <v>8100</v>
      </c>
    </row>
    <row r="14" spans="2:13" x14ac:dyDescent="0.25">
      <c r="B14" s="10">
        <v>100</v>
      </c>
      <c r="C14" t="s">
        <v>66</v>
      </c>
      <c r="D14" s="263">
        <v>271</v>
      </c>
      <c r="E14" s="4">
        <v>110</v>
      </c>
      <c r="F14" s="17">
        <v>0.40600000000000003</v>
      </c>
      <c r="G14" s="17">
        <v>0.38300000000000001</v>
      </c>
      <c r="H14" s="17">
        <v>0.56499999999999995</v>
      </c>
      <c r="I14" s="17">
        <v>0.57499999999999996</v>
      </c>
      <c r="J14" s="21">
        <v>134213</v>
      </c>
      <c r="K14" s="4">
        <v>1.46</v>
      </c>
      <c r="L14" s="4">
        <v>60000</v>
      </c>
      <c r="M14" s="4">
        <v>8100</v>
      </c>
    </row>
    <row r="15" spans="2:13" x14ac:dyDescent="0.25">
      <c r="B15" s="10">
        <v>101</v>
      </c>
      <c r="C15" t="s">
        <v>87</v>
      </c>
      <c r="D15" s="263">
        <v>250</v>
      </c>
      <c r="E15" s="4">
        <v>100</v>
      </c>
      <c r="F15" s="17"/>
      <c r="G15" s="17">
        <v>0.28999999999999998</v>
      </c>
      <c r="H15" s="17">
        <v>0.65</v>
      </c>
      <c r="I15" s="17"/>
      <c r="J15" s="21">
        <v>165000</v>
      </c>
      <c r="K15" s="4">
        <v>0.25</v>
      </c>
      <c r="L15" s="4">
        <v>60000</v>
      </c>
      <c r="M15" s="4">
        <v>8000</v>
      </c>
    </row>
    <row r="16" spans="2:13" x14ac:dyDescent="0.25">
      <c r="B16" s="10">
        <v>120</v>
      </c>
      <c r="C16" t="s">
        <v>65</v>
      </c>
      <c r="D16" s="263">
        <v>343</v>
      </c>
      <c r="E16" s="4">
        <v>130</v>
      </c>
      <c r="F16" s="17">
        <v>0.379</v>
      </c>
      <c r="G16" s="17">
        <v>0.35899999999999999</v>
      </c>
      <c r="H16" s="17">
        <v>0.57099999999999995</v>
      </c>
      <c r="I16" s="17">
        <v>0.58099999999999996</v>
      </c>
      <c r="J16" s="21">
        <v>145747</v>
      </c>
      <c r="K16" s="4">
        <v>1.48</v>
      </c>
      <c r="L16" s="4">
        <v>60000</v>
      </c>
      <c r="M16" s="4">
        <v>8100</v>
      </c>
    </row>
    <row r="17" spans="2:13" x14ac:dyDescent="0.25">
      <c r="B17" s="10">
        <v>190</v>
      </c>
      <c r="C17" t="s">
        <v>62</v>
      </c>
      <c r="D17" s="263">
        <v>493</v>
      </c>
      <c r="E17" s="4">
        <v>200</v>
      </c>
      <c r="F17" s="17">
        <v>0.40600000000000003</v>
      </c>
      <c r="G17" s="17">
        <v>0.38600000000000001</v>
      </c>
      <c r="H17" s="17">
        <v>0.48099999999999998</v>
      </c>
      <c r="I17" s="17">
        <v>0.53300000000000003</v>
      </c>
      <c r="J17" s="21">
        <v>192708</v>
      </c>
      <c r="K17" s="4">
        <v>2.2999999999999998</v>
      </c>
      <c r="L17" s="4">
        <v>60000</v>
      </c>
      <c r="M17" s="4">
        <v>8100</v>
      </c>
    </row>
    <row r="18" spans="2:13" x14ac:dyDescent="0.25">
      <c r="B18" s="10">
        <v>300</v>
      </c>
      <c r="C18" t="s">
        <v>93</v>
      </c>
      <c r="D18" s="263">
        <v>0</v>
      </c>
      <c r="E18" s="4">
        <v>300</v>
      </c>
      <c r="F18" s="17"/>
      <c r="G18" s="17">
        <v>0.41499999999999998</v>
      </c>
      <c r="H18" s="17">
        <v>0.47</v>
      </c>
      <c r="I18" s="17"/>
      <c r="J18" s="21"/>
      <c r="K18" s="4"/>
      <c r="L18" s="4">
        <v>60000</v>
      </c>
      <c r="M18" s="4">
        <v>8000</v>
      </c>
    </row>
    <row r="19" spans="2:13" x14ac:dyDescent="0.25">
      <c r="B19" s="10">
        <v>312</v>
      </c>
      <c r="C19" t="s">
        <v>76</v>
      </c>
      <c r="D19" s="263">
        <v>1374</v>
      </c>
      <c r="E19" s="4">
        <v>625</v>
      </c>
      <c r="F19" s="17"/>
      <c r="G19" s="17">
        <v>0.41299999999999998</v>
      </c>
      <c r="H19" s="17">
        <v>0.4</v>
      </c>
      <c r="I19" s="17"/>
      <c r="J19" s="21">
        <v>450000</v>
      </c>
      <c r="K19" s="4">
        <v>11</v>
      </c>
      <c r="L19" s="4">
        <v>60000</v>
      </c>
      <c r="M19" s="4">
        <v>8100</v>
      </c>
    </row>
    <row r="20" spans="2:13" x14ac:dyDescent="0.25">
      <c r="B20" s="10">
        <v>316</v>
      </c>
      <c r="C20" t="s">
        <v>75</v>
      </c>
      <c r="D20" s="263">
        <v>2025</v>
      </c>
      <c r="E20" s="4">
        <v>835</v>
      </c>
      <c r="F20" s="17"/>
      <c r="G20" s="17">
        <v>0.41199999999999998</v>
      </c>
      <c r="H20" s="17">
        <v>0.39900000000000002</v>
      </c>
      <c r="I20" s="17"/>
      <c r="J20" s="21">
        <v>497420</v>
      </c>
      <c r="K20" s="4">
        <v>7.4</v>
      </c>
      <c r="L20" s="4">
        <v>60000</v>
      </c>
      <c r="M20" s="4">
        <v>8100</v>
      </c>
    </row>
    <row r="21" spans="2:13" x14ac:dyDescent="0.25">
      <c r="B21" s="10">
        <v>320</v>
      </c>
      <c r="C21" t="s">
        <v>74</v>
      </c>
      <c r="D21" s="263">
        <v>2656</v>
      </c>
      <c r="E21" s="4">
        <v>1064</v>
      </c>
      <c r="F21" s="17"/>
      <c r="G21" s="17">
        <v>0.42</v>
      </c>
      <c r="H21" s="17">
        <v>0.40799999999999997</v>
      </c>
      <c r="I21" s="17"/>
      <c r="J21" s="21">
        <v>500000</v>
      </c>
      <c r="K21" s="4">
        <v>11.5</v>
      </c>
      <c r="L21" s="4">
        <v>60000</v>
      </c>
      <c r="M21" s="4">
        <v>8100</v>
      </c>
    </row>
    <row r="22" spans="2:13" x14ac:dyDescent="0.25">
      <c r="B22" s="10">
        <v>345</v>
      </c>
      <c r="C22" t="s">
        <v>63</v>
      </c>
      <c r="D22" s="263">
        <v>850</v>
      </c>
      <c r="E22" s="4">
        <v>345</v>
      </c>
      <c r="F22" s="17"/>
      <c r="G22" s="17">
        <v>0.374</v>
      </c>
      <c r="H22" s="17">
        <v>0.42799999999999999</v>
      </c>
      <c r="I22" s="17"/>
      <c r="J22" s="21">
        <v>225000</v>
      </c>
      <c r="K22" s="4">
        <v>3.25</v>
      </c>
      <c r="L22" s="4">
        <v>60000</v>
      </c>
      <c r="M22" s="4">
        <v>8100</v>
      </c>
    </row>
    <row r="23" spans="2:13" x14ac:dyDescent="0.25">
      <c r="B23" s="10">
        <v>360</v>
      </c>
      <c r="C23" t="s">
        <v>64</v>
      </c>
      <c r="D23" s="263">
        <v>930</v>
      </c>
      <c r="E23" s="4">
        <v>365</v>
      </c>
      <c r="F23" s="17"/>
      <c r="G23" s="17">
        <v>0.38400000000000001</v>
      </c>
      <c r="H23" s="17">
        <v>0.48399999999999999</v>
      </c>
      <c r="I23" s="17"/>
      <c r="J23" s="21">
        <v>246520</v>
      </c>
      <c r="K23" s="4">
        <v>4.0999999999999996</v>
      </c>
      <c r="L23" s="4">
        <v>60000</v>
      </c>
      <c r="M23" s="4">
        <v>8100</v>
      </c>
    </row>
    <row r="24" spans="2:13" x14ac:dyDescent="0.25">
      <c r="B24" s="10">
        <v>375</v>
      </c>
      <c r="C24" t="s">
        <v>89</v>
      </c>
      <c r="D24" s="263">
        <v>998</v>
      </c>
      <c r="E24" s="4">
        <v>375</v>
      </c>
      <c r="F24" s="17"/>
      <c r="G24" s="17">
        <v>0.40200000000000002</v>
      </c>
      <c r="H24" s="17">
        <v>0.47099999999999997</v>
      </c>
      <c r="I24" s="17"/>
      <c r="J24" s="21">
        <v>315000</v>
      </c>
      <c r="K24" s="4">
        <v>9</v>
      </c>
      <c r="L24" s="4">
        <v>60000</v>
      </c>
      <c r="M24" s="4">
        <v>8000</v>
      </c>
    </row>
    <row r="25" spans="2:13" x14ac:dyDescent="0.25">
      <c r="B25" s="10">
        <v>400</v>
      </c>
      <c r="C25" t="s">
        <v>94</v>
      </c>
      <c r="D25" s="263">
        <v>0</v>
      </c>
      <c r="E25" s="4">
        <v>400</v>
      </c>
      <c r="F25" s="17"/>
      <c r="G25" s="17">
        <v>0.41099999999999998</v>
      </c>
      <c r="H25" s="17">
        <v>0.40699999999999997</v>
      </c>
      <c r="I25" s="17"/>
      <c r="J25" s="21"/>
      <c r="K25" s="4"/>
      <c r="L25" s="4">
        <v>60000</v>
      </c>
      <c r="M25" s="4">
        <v>8000</v>
      </c>
    </row>
    <row r="26" spans="2:13" x14ac:dyDescent="0.25">
      <c r="B26" s="10">
        <v>416</v>
      </c>
      <c r="C26" t="s">
        <v>73</v>
      </c>
      <c r="D26" s="263">
        <v>2689</v>
      </c>
      <c r="E26" s="4">
        <v>1131</v>
      </c>
      <c r="F26" s="17"/>
      <c r="G26" s="17">
        <v>0.41899999999999998</v>
      </c>
      <c r="H26" s="17">
        <v>0.4</v>
      </c>
      <c r="I26" s="17"/>
      <c r="J26" s="21">
        <v>571000</v>
      </c>
      <c r="K26" s="4">
        <v>11.5</v>
      </c>
      <c r="L26" s="4">
        <v>60000</v>
      </c>
      <c r="M26" s="4">
        <v>8100</v>
      </c>
    </row>
    <row r="27" spans="2:13" x14ac:dyDescent="0.25">
      <c r="B27" s="10">
        <v>420</v>
      </c>
      <c r="C27" t="s">
        <v>72</v>
      </c>
      <c r="D27" s="263">
        <v>3377</v>
      </c>
      <c r="E27" s="4">
        <v>1416</v>
      </c>
      <c r="F27" s="17"/>
      <c r="G27" s="17">
        <v>0.42099999999999999</v>
      </c>
      <c r="H27" s="17">
        <v>0.41799999999999998</v>
      </c>
      <c r="I27" s="17"/>
      <c r="J27" s="21">
        <v>661690</v>
      </c>
      <c r="K27" s="4">
        <v>13.78</v>
      </c>
      <c r="L27" s="4">
        <v>60000</v>
      </c>
      <c r="M27" s="4">
        <v>8100</v>
      </c>
    </row>
    <row r="28" spans="2:13" x14ac:dyDescent="0.25">
      <c r="B28" s="10">
        <v>500</v>
      </c>
      <c r="C28" t="s">
        <v>90</v>
      </c>
      <c r="D28" s="263">
        <v>1330</v>
      </c>
      <c r="E28" s="4">
        <v>500</v>
      </c>
      <c r="F28" s="17"/>
      <c r="G28" s="17">
        <v>0.38500000000000001</v>
      </c>
      <c r="H28" s="17">
        <v>0.52300000000000002</v>
      </c>
      <c r="I28" s="17"/>
      <c r="J28" s="21">
        <v>320000</v>
      </c>
      <c r="K28" s="4">
        <v>9</v>
      </c>
      <c r="L28" s="4">
        <v>60000</v>
      </c>
      <c r="M28" s="4">
        <v>8000</v>
      </c>
    </row>
    <row r="29" spans="2:13" x14ac:dyDescent="0.25">
      <c r="B29" s="10">
        <v>537</v>
      </c>
      <c r="C29" t="s">
        <v>80</v>
      </c>
      <c r="D29" s="263">
        <v>1306</v>
      </c>
      <c r="E29" s="4">
        <v>537</v>
      </c>
      <c r="F29" s="17"/>
      <c r="G29" s="17">
        <v>0.41399999999999998</v>
      </c>
      <c r="H29" s="17">
        <v>0.40200000000000002</v>
      </c>
      <c r="I29" s="17"/>
      <c r="J29" s="21">
        <v>343600</v>
      </c>
      <c r="K29" s="4">
        <v>4.45</v>
      </c>
      <c r="L29" s="4">
        <v>70000</v>
      </c>
      <c r="M29" s="4">
        <v>8100</v>
      </c>
    </row>
    <row r="30" spans="2:13" x14ac:dyDescent="0.25">
      <c r="B30" s="10">
        <v>716</v>
      </c>
      <c r="C30" t="s">
        <v>79</v>
      </c>
      <c r="D30" s="263">
        <v>1722</v>
      </c>
      <c r="E30" s="4">
        <v>716</v>
      </c>
      <c r="F30" s="17"/>
      <c r="G30" s="17">
        <v>0.41499999999999998</v>
      </c>
      <c r="H30" s="17">
        <v>0.40400000000000003</v>
      </c>
      <c r="I30" s="17"/>
      <c r="J30" s="21">
        <v>389800</v>
      </c>
      <c r="K30" s="4">
        <v>6.3</v>
      </c>
      <c r="L30" s="4">
        <v>105000</v>
      </c>
      <c r="M30" s="4">
        <v>8100</v>
      </c>
    </row>
    <row r="31" spans="2:13" x14ac:dyDescent="0.25">
      <c r="B31" s="10">
        <v>827</v>
      </c>
      <c r="C31" t="s">
        <v>78</v>
      </c>
      <c r="D31" s="263">
        <v>1924</v>
      </c>
      <c r="E31" s="4">
        <v>800</v>
      </c>
      <c r="F31" s="17"/>
      <c r="G31" s="17">
        <v>0.42499999999999999</v>
      </c>
      <c r="H31" s="17">
        <v>0.439</v>
      </c>
      <c r="I31" s="17"/>
      <c r="J31" s="21">
        <v>500000</v>
      </c>
      <c r="K31" s="4">
        <v>8.5</v>
      </c>
      <c r="L31" s="4">
        <v>110000</v>
      </c>
      <c r="M31" s="4">
        <v>8100</v>
      </c>
    </row>
    <row r="32" spans="2:13" x14ac:dyDescent="0.25">
      <c r="B32" s="10">
        <v>838</v>
      </c>
      <c r="C32" t="s">
        <v>81</v>
      </c>
      <c r="D32" s="263">
        <v>2064</v>
      </c>
      <c r="E32" s="4">
        <v>805</v>
      </c>
      <c r="F32" s="17"/>
      <c r="G32" s="17">
        <v>0.39</v>
      </c>
      <c r="H32" s="17">
        <v>0.51</v>
      </c>
      <c r="I32" s="17"/>
      <c r="J32" s="21">
        <v>425000</v>
      </c>
      <c r="K32" s="4">
        <v>6.82</v>
      </c>
      <c r="L32" s="4">
        <v>50000</v>
      </c>
      <c r="M32" s="4">
        <v>8200</v>
      </c>
    </row>
    <row r="33" spans="2:13" x14ac:dyDescent="0.25">
      <c r="B33" s="10">
        <v>850</v>
      </c>
      <c r="C33" t="s">
        <v>88</v>
      </c>
      <c r="D33" s="263">
        <v>2235</v>
      </c>
      <c r="E33" s="4">
        <v>840</v>
      </c>
      <c r="F33" s="17"/>
      <c r="G33" s="17">
        <v>0.372</v>
      </c>
      <c r="H33" s="17">
        <v>0.45</v>
      </c>
      <c r="I33" s="17"/>
      <c r="J33" s="21">
        <v>431000</v>
      </c>
      <c r="K33" s="4">
        <v>9</v>
      </c>
      <c r="L33" s="4">
        <v>60000</v>
      </c>
      <c r="M33" s="4">
        <v>8000</v>
      </c>
    </row>
    <row r="34" spans="2:13" x14ac:dyDescent="0.25">
      <c r="B34" s="10">
        <v>930</v>
      </c>
      <c r="C34" t="s">
        <v>82</v>
      </c>
      <c r="D34" s="263">
        <v>2385</v>
      </c>
      <c r="E34" s="4">
        <v>930</v>
      </c>
      <c r="F34" s="17"/>
      <c r="G34" s="17">
        <v>0.372</v>
      </c>
      <c r="H34" s="17">
        <v>0.53800000000000003</v>
      </c>
      <c r="I34" s="17"/>
      <c r="J34" s="21">
        <v>460000</v>
      </c>
      <c r="K34" s="4">
        <v>7.8</v>
      </c>
      <c r="L34" s="4">
        <v>60000</v>
      </c>
      <c r="M34" s="4">
        <v>8100</v>
      </c>
    </row>
    <row r="35" spans="2:13" x14ac:dyDescent="0.25">
      <c r="B35" s="10">
        <v>1000</v>
      </c>
      <c r="C35" t="s">
        <v>77</v>
      </c>
      <c r="D35" s="263">
        <v>2425</v>
      </c>
      <c r="E35" s="4">
        <v>1021</v>
      </c>
      <c r="F35" s="17"/>
      <c r="G35" s="17">
        <v>0.41</v>
      </c>
      <c r="H35" s="17">
        <v>0.41699999999999998</v>
      </c>
      <c r="I35" s="17"/>
      <c r="J35" s="21">
        <v>548000</v>
      </c>
      <c r="K35" s="4">
        <v>8.1</v>
      </c>
      <c r="L35" s="4">
        <v>120000</v>
      </c>
      <c r="M35" s="4">
        <v>8100</v>
      </c>
    </row>
    <row r="36" spans="2:13" x14ac:dyDescent="0.25">
      <c r="B36" s="10">
        <v>1001</v>
      </c>
      <c r="C36" t="s">
        <v>85</v>
      </c>
      <c r="D36" s="263">
        <v>2385</v>
      </c>
      <c r="E36" s="4">
        <v>1000</v>
      </c>
      <c r="F36" s="17"/>
      <c r="G36" s="17">
        <v>0.42299999999999999</v>
      </c>
      <c r="H36" s="17">
        <v>0.46899999999999997</v>
      </c>
      <c r="I36" s="17"/>
      <c r="J36" s="21">
        <v>518000</v>
      </c>
      <c r="K36" s="4">
        <v>12</v>
      </c>
      <c r="L36" s="4">
        <v>60000</v>
      </c>
      <c r="M36" s="4">
        <v>8200</v>
      </c>
    </row>
    <row r="37" spans="2:13" x14ac:dyDescent="0.25">
      <c r="B37" s="10">
        <v>1002</v>
      </c>
      <c r="C37" t="s">
        <v>86</v>
      </c>
      <c r="D37" s="263">
        <v>2500</v>
      </c>
      <c r="E37" s="4">
        <v>1000</v>
      </c>
      <c r="F37" s="17"/>
      <c r="G37" s="17">
        <v>0.41</v>
      </c>
      <c r="H37" s="17">
        <v>0.45</v>
      </c>
      <c r="I37" s="17"/>
      <c r="J37" s="21">
        <v>486400</v>
      </c>
      <c r="K37" s="4">
        <v>22.13</v>
      </c>
      <c r="L37" s="4">
        <v>60000</v>
      </c>
      <c r="M37" s="4">
        <v>8000</v>
      </c>
    </row>
    <row r="38" spans="2:13" x14ac:dyDescent="0.25">
      <c r="B38" s="10">
        <v>1003</v>
      </c>
      <c r="C38" t="s">
        <v>92</v>
      </c>
      <c r="D38" s="263">
        <v>0</v>
      </c>
      <c r="E38" s="4">
        <v>1000</v>
      </c>
      <c r="F38" s="17"/>
      <c r="G38" s="17">
        <v>0.01</v>
      </c>
      <c r="H38" s="17">
        <v>0.8</v>
      </c>
      <c r="I38" s="17"/>
      <c r="J38" s="21">
        <v>486400</v>
      </c>
      <c r="K38" s="4">
        <v>22.3</v>
      </c>
      <c r="L38" s="4">
        <v>60000</v>
      </c>
      <c r="M38" s="4">
        <v>8000</v>
      </c>
    </row>
    <row r="39" spans="2:13" x14ac:dyDescent="0.25">
      <c r="B39" s="10">
        <v>2433</v>
      </c>
      <c r="C39" t="s">
        <v>96</v>
      </c>
      <c r="D39" s="263">
        <v>0</v>
      </c>
      <c r="E39" s="4">
        <v>2433</v>
      </c>
      <c r="F39" s="17"/>
      <c r="G39" s="17">
        <v>0.434</v>
      </c>
      <c r="H39" s="17">
        <v>0.42799999999999999</v>
      </c>
      <c r="I39" s="17"/>
      <c r="J39" s="21">
        <v>750000</v>
      </c>
      <c r="K39" s="4">
        <v>15</v>
      </c>
      <c r="L39" s="4">
        <v>60000</v>
      </c>
      <c r="M39" s="4">
        <v>8100</v>
      </c>
    </row>
    <row r="40" spans="2:13" x14ac:dyDescent="0.25">
      <c r="B40" s="10">
        <v>4900</v>
      </c>
      <c r="C40" t="s">
        <v>95</v>
      </c>
      <c r="D40" s="263">
        <v>0</v>
      </c>
      <c r="E40" s="4">
        <v>4900</v>
      </c>
      <c r="F40" s="17"/>
      <c r="G40" s="17">
        <v>0.2</v>
      </c>
      <c r="H40" s="17">
        <v>0.51</v>
      </c>
      <c r="I40" s="17"/>
      <c r="J40" s="21">
        <v>4000000</v>
      </c>
      <c r="K40" s="4">
        <v>15</v>
      </c>
      <c r="L40" s="4">
        <v>60000</v>
      </c>
      <c r="M40" s="4">
        <v>8100</v>
      </c>
    </row>
    <row r="41" spans="2:13" x14ac:dyDescent="0.25">
      <c r="D41" s="263"/>
      <c r="E41" s="4"/>
      <c r="F41" s="4"/>
      <c r="G41" s="4"/>
      <c r="H41" s="4"/>
      <c r="I41" s="4"/>
      <c r="J41" s="21"/>
      <c r="K41" s="4"/>
      <c r="L41" s="4"/>
      <c r="M41" s="4"/>
    </row>
    <row r="42" spans="2:13" x14ac:dyDescent="0.25">
      <c r="D42" s="263"/>
      <c r="E42" s="4"/>
      <c r="F42" s="4"/>
      <c r="G42" s="4"/>
      <c r="H42" s="4"/>
      <c r="I42" s="4"/>
      <c r="J42" s="21"/>
      <c r="K42" s="4"/>
      <c r="L42" s="4"/>
      <c r="M42" s="4"/>
    </row>
    <row r="43" spans="2:13" x14ac:dyDescent="0.25">
      <c r="D43" s="263"/>
      <c r="E43" s="4"/>
      <c r="F43" s="4"/>
      <c r="G43" s="4"/>
      <c r="H43" s="4"/>
      <c r="I43" s="4"/>
      <c r="J43" s="21"/>
      <c r="K43" s="4"/>
      <c r="L43" s="4"/>
      <c r="M43" s="4"/>
    </row>
    <row r="44" spans="2:13" x14ac:dyDescent="0.25">
      <c r="D44" s="263"/>
      <c r="E44" s="4"/>
      <c r="F44" s="4"/>
      <c r="G44" s="4"/>
      <c r="H44" s="4"/>
      <c r="I44" s="4"/>
      <c r="J44" s="21"/>
      <c r="K44" s="4"/>
      <c r="L44" s="4"/>
      <c r="M44" s="4"/>
    </row>
    <row r="45" spans="2:13" x14ac:dyDescent="0.25">
      <c r="D45" s="263"/>
      <c r="E45" s="4"/>
      <c r="F45" s="4"/>
      <c r="G45" s="4"/>
      <c r="H45" s="4"/>
      <c r="I45" s="4"/>
      <c r="J45" s="21"/>
      <c r="K45" s="4"/>
      <c r="L45" s="4"/>
      <c r="M45" s="4"/>
    </row>
    <row r="46" spans="2:13" x14ac:dyDescent="0.25">
      <c r="D46" s="263"/>
      <c r="E46" s="4"/>
      <c r="F46" s="4"/>
      <c r="G46" s="4"/>
      <c r="H46" s="4"/>
      <c r="I46" s="4"/>
      <c r="J46" s="21"/>
      <c r="K46" s="4"/>
      <c r="L46" s="4"/>
      <c r="M46" s="4"/>
    </row>
    <row r="47" spans="2:13" x14ac:dyDescent="0.25">
      <c r="D47" s="263"/>
      <c r="E47" s="4"/>
      <c r="F47" s="4"/>
      <c r="G47" s="4"/>
      <c r="H47" s="4"/>
      <c r="I47" s="4"/>
      <c r="J47" s="21"/>
      <c r="K47" s="4"/>
      <c r="L47" s="4"/>
      <c r="M47" s="4"/>
    </row>
    <row r="48" spans="2:13" x14ac:dyDescent="0.25">
      <c r="D48" s="263"/>
      <c r="E48" s="4"/>
      <c r="F48" s="4"/>
      <c r="G48" s="4"/>
      <c r="H48" s="4"/>
      <c r="I48" s="4"/>
      <c r="J48" s="21"/>
      <c r="K48" s="4"/>
      <c r="L48" s="4"/>
      <c r="M48" s="4"/>
    </row>
    <row r="49" spans="4:13" x14ac:dyDescent="0.25">
      <c r="D49" s="263"/>
      <c r="E49" s="4"/>
      <c r="F49" s="4"/>
      <c r="G49" s="4"/>
      <c r="H49" s="4"/>
      <c r="I49" s="4"/>
      <c r="J49" s="21"/>
      <c r="K49" s="4"/>
      <c r="L49" s="4"/>
      <c r="M49" s="4"/>
    </row>
    <row r="50" spans="4:13" x14ac:dyDescent="0.25">
      <c r="D50" s="263"/>
      <c r="E50" s="4"/>
      <c r="F50" s="4"/>
      <c r="G50" s="4"/>
      <c r="H50" s="4"/>
      <c r="I50" s="4"/>
      <c r="J50" s="21"/>
      <c r="K50" s="4"/>
      <c r="L50" s="4"/>
      <c r="M50" s="4"/>
    </row>
    <row r="51" spans="4:13" x14ac:dyDescent="0.25">
      <c r="D51" s="263"/>
      <c r="E51" s="4"/>
      <c r="F51" s="4"/>
      <c r="G51" s="4"/>
      <c r="H51" s="4"/>
      <c r="I51" s="4"/>
      <c r="J51" s="21"/>
      <c r="K51" s="4"/>
      <c r="L51" s="4"/>
      <c r="M51" s="4"/>
    </row>
    <row r="52" spans="4:13" x14ac:dyDescent="0.25">
      <c r="D52" s="263"/>
      <c r="E52" s="4"/>
      <c r="F52" s="4"/>
      <c r="G52" s="4"/>
      <c r="H52" s="4"/>
      <c r="I52" s="4"/>
      <c r="J52" s="21"/>
      <c r="K52" s="4"/>
      <c r="L52" s="4"/>
      <c r="M52" s="4"/>
    </row>
    <row r="53" spans="4:13" x14ac:dyDescent="0.25">
      <c r="D53" s="263"/>
      <c r="E53" s="4"/>
      <c r="F53" s="4"/>
      <c r="G53" s="4"/>
      <c r="H53" s="4"/>
      <c r="I53" s="4"/>
      <c r="J53" s="21"/>
      <c r="K53" s="4"/>
      <c r="L53" s="4"/>
      <c r="M53" s="4"/>
    </row>
    <row r="54" spans="4:13" x14ac:dyDescent="0.25">
      <c r="D54" s="263"/>
      <c r="E54" s="4"/>
      <c r="F54" s="4"/>
      <c r="G54" s="4"/>
      <c r="H54" s="4"/>
      <c r="I54" s="4"/>
      <c r="J54" s="21"/>
      <c r="K54" s="4"/>
      <c r="L54" s="4"/>
      <c r="M54" s="4"/>
    </row>
    <row r="55" spans="4:13" x14ac:dyDescent="0.25">
      <c r="D55" s="263"/>
      <c r="E55" s="4"/>
      <c r="F55" s="4"/>
      <c r="G55" s="4"/>
      <c r="H55" s="4"/>
      <c r="I55" s="4"/>
      <c r="J55" s="21"/>
      <c r="K55" s="4"/>
      <c r="L55" s="4"/>
      <c r="M55" s="4"/>
    </row>
    <row r="56" spans="4:13" x14ac:dyDescent="0.25">
      <c r="D56" s="263"/>
      <c r="E56" s="4"/>
      <c r="F56" s="4"/>
      <c r="G56" s="4"/>
      <c r="H56" s="4"/>
      <c r="I56" s="4"/>
      <c r="J56" s="21"/>
      <c r="K56" s="4"/>
      <c r="L56" s="4"/>
      <c r="M56" s="4"/>
    </row>
    <row r="57" spans="4:13" x14ac:dyDescent="0.25">
      <c r="D57" s="263"/>
      <c r="E57" s="4"/>
      <c r="F57" s="4"/>
      <c r="G57" s="4"/>
      <c r="H57" s="4"/>
      <c r="I57" s="4"/>
      <c r="J57" s="21"/>
      <c r="K57" s="4"/>
      <c r="L57" s="4"/>
      <c r="M57" s="4"/>
    </row>
    <row r="58" spans="4:13" x14ac:dyDescent="0.25">
      <c r="D58" s="263"/>
      <c r="E58" s="4"/>
      <c r="F58" s="4"/>
      <c r="G58" s="4"/>
      <c r="H58" s="4"/>
      <c r="I58" s="4"/>
      <c r="J58" s="21"/>
      <c r="K58" s="4"/>
      <c r="L58" s="4"/>
      <c r="M58" s="4"/>
    </row>
    <row r="59" spans="4:13" x14ac:dyDescent="0.25">
      <c r="D59" s="263"/>
      <c r="E59" s="4"/>
      <c r="F59" s="4"/>
      <c r="G59" s="4"/>
      <c r="H59" s="4"/>
      <c r="I59" s="4"/>
      <c r="J59" s="21"/>
      <c r="K59" s="4"/>
      <c r="L59" s="4"/>
      <c r="M59" s="4"/>
    </row>
    <row r="60" spans="4:13" x14ac:dyDescent="0.25">
      <c r="D60" s="263"/>
      <c r="E60" s="4"/>
      <c r="F60" s="4"/>
      <c r="G60" s="4"/>
      <c r="H60" s="4"/>
      <c r="I60" s="4"/>
      <c r="J60" s="21"/>
      <c r="K60" s="4"/>
      <c r="L60" s="4"/>
      <c r="M60" s="4"/>
    </row>
    <row r="61" spans="4:13" x14ac:dyDescent="0.25">
      <c r="D61" s="263"/>
      <c r="E61" s="4"/>
      <c r="F61" s="4"/>
      <c r="G61" s="4"/>
      <c r="H61" s="4"/>
      <c r="I61" s="4"/>
      <c r="J61" s="21"/>
      <c r="K61" s="4"/>
      <c r="L61" s="4"/>
      <c r="M61" s="4"/>
    </row>
    <row r="62" spans="4:13" x14ac:dyDescent="0.25">
      <c r="D62" s="263"/>
      <c r="E62" s="4"/>
      <c r="F62" s="4"/>
      <c r="G62" s="4"/>
      <c r="H62" s="4"/>
      <c r="I62" s="4"/>
      <c r="J62" s="21"/>
      <c r="K62" s="4"/>
      <c r="L62" s="4"/>
      <c r="M62" s="4"/>
    </row>
    <row r="63" spans="4:13" x14ac:dyDescent="0.25">
      <c r="D63" s="263"/>
      <c r="E63" s="4"/>
      <c r="F63" s="4"/>
      <c r="G63" s="4"/>
      <c r="H63" s="4"/>
      <c r="I63" s="4"/>
      <c r="J63" s="21"/>
      <c r="K63" s="4"/>
      <c r="L63" s="4"/>
      <c r="M63" s="4"/>
    </row>
    <row r="64" spans="4:13" x14ac:dyDescent="0.25">
      <c r="D64" s="263"/>
      <c r="E64" s="4"/>
      <c r="F64" s="4"/>
      <c r="G64" s="4"/>
      <c r="H64" s="4"/>
      <c r="I64" s="4"/>
      <c r="J64" s="21"/>
      <c r="K64" s="4"/>
      <c r="L64" s="4"/>
      <c r="M64" s="4"/>
    </row>
    <row r="65" spans="4:13" x14ac:dyDescent="0.25">
      <c r="D65" s="263"/>
      <c r="E65" s="4"/>
      <c r="F65" s="4"/>
      <c r="G65" s="4"/>
      <c r="H65" s="4"/>
      <c r="I65" s="4"/>
      <c r="J65" s="21"/>
      <c r="K65" s="4"/>
      <c r="L65" s="4"/>
      <c r="M65" s="4"/>
    </row>
    <row r="66" spans="4:13" x14ac:dyDescent="0.25">
      <c r="D66" s="263"/>
      <c r="E66" s="4"/>
      <c r="F66" s="4"/>
      <c r="G66" s="4"/>
      <c r="H66" s="4"/>
      <c r="I66" s="4"/>
      <c r="J66" s="21"/>
      <c r="K66" s="4"/>
      <c r="L66" s="4"/>
      <c r="M66" s="4"/>
    </row>
    <row r="67" spans="4:13" x14ac:dyDescent="0.25">
      <c r="D67" s="263"/>
      <c r="E67" s="4"/>
      <c r="F67" s="4"/>
      <c r="G67" s="4"/>
      <c r="H67" s="4"/>
      <c r="I67" s="4"/>
      <c r="J67" s="21"/>
      <c r="K67" s="4"/>
      <c r="L67" s="4"/>
      <c r="M67" s="4"/>
    </row>
    <row r="68" spans="4:13" x14ac:dyDescent="0.25">
      <c r="D68" s="263"/>
      <c r="E68" s="4"/>
      <c r="F68" s="4"/>
      <c r="G68" s="4"/>
      <c r="H68" s="4"/>
      <c r="I68" s="4"/>
      <c r="J68" s="21"/>
      <c r="K68" s="4"/>
      <c r="L68" s="4"/>
      <c r="M68" s="4"/>
    </row>
    <row r="69" spans="4:13" x14ac:dyDescent="0.25">
      <c r="D69" s="263"/>
      <c r="E69" s="4"/>
      <c r="F69" s="4"/>
      <c r="G69" s="4"/>
      <c r="H69" s="4"/>
      <c r="I69" s="4"/>
      <c r="J69" s="21"/>
      <c r="K69" s="4"/>
      <c r="L69" s="4"/>
      <c r="M69" s="4"/>
    </row>
    <row r="70" spans="4:13" x14ac:dyDescent="0.25">
      <c r="D70" s="263"/>
      <c r="E70" s="4"/>
      <c r="F70" s="4"/>
      <c r="G70" s="4"/>
      <c r="H70" s="4"/>
      <c r="I70" s="4"/>
      <c r="J70" s="21"/>
      <c r="K70" s="4"/>
      <c r="L70" s="4"/>
      <c r="M70" s="4"/>
    </row>
    <row r="71" spans="4:13" x14ac:dyDescent="0.25">
      <c r="D71" s="263"/>
      <c r="E71" s="4"/>
      <c r="F71" s="4"/>
      <c r="G71" s="4"/>
      <c r="H71" s="4"/>
      <c r="I71" s="4"/>
      <c r="J71" s="21"/>
      <c r="K71" s="4"/>
      <c r="L71" s="4"/>
      <c r="M71" s="4"/>
    </row>
    <row r="72" spans="4:13" x14ac:dyDescent="0.25">
      <c r="D72" s="263"/>
      <c r="E72" s="4"/>
      <c r="F72" s="4"/>
      <c r="G72" s="4"/>
      <c r="H72" s="4"/>
      <c r="I72" s="4"/>
      <c r="J72" s="21"/>
      <c r="K72" s="4"/>
      <c r="L72" s="4"/>
      <c r="M72" s="4"/>
    </row>
  </sheetData>
  <sheetProtection algorithmName="SHA-512" hashValue="L5Eb11MDShXMnSOJMTemN+6lY83BAg0meM5gXz66Gk9w9hIIV0FKo/em2dBSMR1x1LFhM4rHbmdA24AhSl+ftQ==" saltValue="SNnUDcZ6N/e7en1fUMJd/w==" spinCount="100000" sheet="1" selectLockedCells="1"/>
  <pageMargins left="0.7" right="0.7" top="0.75" bottom="0.75" header="0.3" footer="0.3"/>
  <pageSetup paperSize="9" scale="89" orientation="portrait" r:id="rId1"/>
  <colBreaks count="1" manualBreakCount="1">
    <brk id="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4"/>
  <sheetViews>
    <sheetView zoomScaleNormal="100" workbookViewId="0">
      <selection activeCell="N15" sqref="N15"/>
    </sheetView>
  </sheetViews>
  <sheetFormatPr defaultRowHeight="15" x14ac:dyDescent="0.25"/>
  <cols>
    <col min="2" max="2" width="13.85546875" customWidth="1"/>
    <col min="4" max="4" width="12.5703125" customWidth="1"/>
    <col min="9" max="9" width="35.28515625" customWidth="1"/>
    <col min="15" max="15" width="27.140625" customWidth="1"/>
    <col min="17" max="17" width="13.140625" customWidth="1"/>
    <col min="19" max="19" width="11.5703125" customWidth="1"/>
    <col min="21" max="21" width="15.85546875" customWidth="1"/>
    <col min="22" max="22" width="13.28515625" customWidth="1"/>
  </cols>
  <sheetData>
    <row r="2" spans="2:26" x14ac:dyDescent="0.25">
      <c r="B2" s="2" t="s">
        <v>3</v>
      </c>
      <c r="D2" s="2" t="s">
        <v>7</v>
      </c>
      <c r="F2" s="2" t="s">
        <v>1</v>
      </c>
      <c r="H2" s="2" t="s">
        <v>13</v>
      </c>
      <c r="I2" s="2" t="s">
        <v>12</v>
      </c>
      <c r="K2" s="2" t="s">
        <v>14</v>
      </c>
      <c r="M2" s="2" t="s">
        <v>15</v>
      </c>
      <c r="O2" s="2" t="s">
        <v>19</v>
      </c>
      <c r="Q2" s="2"/>
      <c r="R2" s="3" t="s">
        <v>24</v>
      </c>
      <c r="S2" s="2"/>
      <c r="U2" s="2" t="s">
        <v>25</v>
      </c>
      <c r="V2" s="4"/>
      <c r="X2" s="8" t="s">
        <v>41</v>
      </c>
      <c r="Z2" s="9" t="s">
        <v>42</v>
      </c>
    </row>
    <row r="3" spans="2:26" x14ac:dyDescent="0.25">
      <c r="B3" t="s">
        <v>5</v>
      </c>
      <c r="D3" t="s">
        <v>156</v>
      </c>
      <c r="F3" s="1" t="s">
        <v>8</v>
      </c>
      <c r="H3">
        <v>10000</v>
      </c>
      <c r="I3" t="s">
        <v>26</v>
      </c>
      <c r="K3" t="s">
        <v>162</v>
      </c>
      <c r="M3" t="s">
        <v>169</v>
      </c>
      <c r="O3" t="s">
        <v>160</v>
      </c>
      <c r="Q3" t="s">
        <v>162</v>
      </c>
      <c r="R3" s="11">
        <v>30</v>
      </c>
      <c r="S3" t="s">
        <v>170</v>
      </c>
      <c r="U3" t="s">
        <v>158</v>
      </c>
      <c r="V3" s="5">
        <f>1/6</f>
        <v>0.16666666666666666</v>
      </c>
      <c r="X3" s="4">
        <v>25</v>
      </c>
      <c r="Z3" s="44">
        <v>1</v>
      </c>
    </row>
    <row r="4" spans="2:26" x14ac:dyDescent="0.25">
      <c r="B4" t="s">
        <v>4</v>
      </c>
      <c r="D4" t="s">
        <v>155</v>
      </c>
      <c r="F4" s="1" t="s">
        <v>9</v>
      </c>
      <c r="H4">
        <v>49000</v>
      </c>
      <c r="I4" t="s">
        <v>44</v>
      </c>
      <c r="K4" t="s">
        <v>163</v>
      </c>
      <c r="M4" t="s">
        <v>16</v>
      </c>
      <c r="O4" t="s">
        <v>161</v>
      </c>
      <c r="Q4" t="s">
        <v>163</v>
      </c>
      <c r="R4" s="11">
        <v>10</v>
      </c>
      <c r="S4" t="s">
        <v>170</v>
      </c>
      <c r="U4" t="s">
        <v>159</v>
      </c>
      <c r="V4" s="5">
        <f>5/6</f>
        <v>0.83333333333333337</v>
      </c>
      <c r="X4" s="4">
        <v>26</v>
      </c>
      <c r="Z4" s="44">
        <v>2</v>
      </c>
    </row>
    <row r="5" spans="2:26" x14ac:dyDescent="0.25">
      <c r="B5" t="s">
        <v>6</v>
      </c>
      <c r="F5" s="1" t="s">
        <v>10</v>
      </c>
      <c r="H5">
        <v>44000</v>
      </c>
      <c r="I5" t="s">
        <v>45</v>
      </c>
      <c r="K5" t="s">
        <v>164</v>
      </c>
      <c r="Q5" t="s">
        <v>164</v>
      </c>
      <c r="R5" s="11">
        <v>10</v>
      </c>
      <c r="S5" t="s">
        <v>170</v>
      </c>
      <c r="X5" s="4">
        <v>27</v>
      </c>
      <c r="Z5" s="44">
        <v>3</v>
      </c>
    </row>
    <row r="6" spans="2:26" x14ac:dyDescent="0.25">
      <c r="F6" s="1" t="s">
        <v>11</v>
      </c>
      <c r="H6">
        <v>47000</v>
      </c>
      <c r="I6" t="s">
        <v>27</v>
      </c>
      <c r="K6" t="s">
        <v>165</v>
      </c>
      <c r="Q6" t="s">
        <v>165</v>
      </c>
      <c r="R6" s="11">
        <v>0.5</v>
      </c>
      <c r="S6" t="s">
        <v>170</v>
      </c>
      <c r="X6" s="4">
        <v>28</v>
      </c>
      <c r="Z6" s="44">
        <v>4</v>
      </c>
    </row>
    <row r="7" spans="2:26" x14ac:dyDescent="0.25">
      <c r="H7">
        <v>42000</v>
      </c>
      <c r="I7" t="s">
        <v>28</v>
      </c>
      <c r="K7" t="s">
        <v>166</v>
      </c>
      <c r="Q7" t="s">
        <v>166</v>
      </c>
      <c r="R7" s="11">
        <v>5</v>
      </c>
      <c r="S7" t="s">
        <v>170</v>
      </c>
      <c r="X7" s="4">
        <v>29</v>
      </c>
      <c r="Z7" s="44">
        <v>5</v>
      </c>
    </row>
    <row r="8" spans="2:26" x14ac:dyDescent="0.25">
      <c r="H8">
        <v>48000</v>
      </c>
      <c r="I8" t="s">
        <v>46</v>
      </c>
      <c r="K8" t="s">
        <v>168</v>
      </c>
      <c r="Q8" t="s">
        <v>168</v>
      </c>
      <c r="R8" s="11">
        <v>1.2</v>
      </c>
      <c r="S8" t="s">
        <v>170</v>
      </c>
      <c r="X8" s="4">
        <v>30</v>
      </c>
    </row>
    <row r="9" spans="2:26" x14ac:dyDescent="0.25">
      <c r="H9">
        <v>43000</v>
      </c>
      <c r="I9" t="s">
        <v>47</v>
      </c>
      <c r="K9" t="s">
        <v>167</v>
      </c>
      <c r="Q9" t="s">
        <v>167</v>
      </c>
      <c r="R9" s="11">
        <v>0.05</v>
      </c>
      <c r="S9" t="s">
        <v>170</v>
      </c>
      <c r="X9" s="4">
        <v>31</v>
      </c>
    </row>
    <row r="10" spans="2:26" x14ac:dyDescent="0.25">
      <c r="H10">
        <v>51000</v>
      </c>
      <c r="I10" t="s">
        <v>48</v>
      </c>
      <c r="X10" s="4">
        <v>32</v>
      </c>
    </row>
    <row r="11" spans="2:26" x14ac:dyDescent="0.25">
      <c r="H11">
        <v>53000</v>
      </c>
      <c r="I11" t="s">
        <v>49</v>
      </c>
      <c r="X11" s="4">
        <v>33</v>
      </c>
    </row>
    <row r="12" spans="2:26" x14ac:dyDescent="0.25">
      <c r="H12">
        <v>33000</v>
      </c>
      <c r="I12" t="s">
        <v>50</v>
      </c>
      <c r="X12" s="4">
        <v>34</v>
      </c>
    </row>
    <row r="13" spans="2:26" x14ac:dyDescent="0.25">
      <c r="H13">
        <v>34000</v>
      </c>
      <c r="I13" t="s">
        <v>51</v>
      </c>
      <c r="X13" s="4">
        <v>35</v>
      </c>
    </row>
    <row r="14" spans="2:26" x14ac:dyDescent="0.25">
      <c r="H14">
        <v>35000</v>
      </c>
      <c r="I14" t="s">
        <v>52</v>
      </c>
      <c r="X14" s="4">
        <v>36</v>
      </c>
    </row>
    <row r="15" spans="2:26" x14ac:dyDescent="0.25">
      <c r="H15">
        <v>23000</v>
      </c>
      <c r="I15" t="s">
        <v>29</v>
      </c>
      <c r="X15" s="4">
        <v>37</v>
      </c>
    </row>
    <row r="16" spans="2:26" x14ac:dyDescent="0.25">
      <c r="H16">
        <v>31000</v>
      </c>
      <c r="I16" t="s">
        <v>53</v>
      </c>
      <c r="X16" s="4">
        <v>38</v>
      </c>
    </row>
    <row r="17" spans="2:24" x14ac:dyDescent="0.25">
      <c r="H17">
        <v>22000</v>
      </c>
      <c r="I17" t="s">
        <v>54</v>
      </c>
      <c r="X17" s="4">
        <v>39</v>
      </c>
    </row>
    <row r="18" spans="2:24" x14ac:dyDescent="0.25">
      <c r="H18">
        <v>32000</v>
      </c>
      <c r="I18" t="s">
        <v>55</v>
      </c>
      <c r="X18" s="4">
        <v>40</v>
      </c>
    </row>
    <row r="19" spans="2:24" x14ac:dyDescent="0.25">
      <c r="H19">
        <v>21000</v>
      </c>
      <c r="I19" t="s">
        <v>56</v>
      </c>
      <c r="X19" s="4">
        <v>41</v>
      </c>
    </row>
    <row r="20" spans="2:24" x14ac:dyDescent="0.25">
      <c r="H20">
        <v>52000</v>
      </c>
      <c r="I20" t="s">
        <v>30</v>
      </c>
      <c r="X20" s="4">
        <v>42</v>
      </c>
    </row>
    <row r="21" spans="2:24" x14ac:dyDescent="0.25">
      <c r="H21">
        <v>20000</v>
      </c>
      <c r="I21" t="s">
        <v>57</v>
      </c>
      <c r="X21" s="4">
        <v>43</v>
      </c>
    </row>
    <row r="22" spans="2:24" x14ac:dyDescent="0.25">
      <c r="H22">
        <v>40000</v>
      </c>
      <c r="I22" t="s">
        <v>31</v>
      </c>
      <c r="X22" s="4">
        <v>44</v>
      </c>
    </row>
    <row r="23" spans="2:24" x14ac:dyDescent="0.25">
      <c r="H23">
        <v>10000</v>
      </c>
      <c r="I23" t="s">
        <v>32</v>
      </c>
      <c r="X23" s="4">
        <v>45</v>
      </c>
    </row>
    <row r="24" spans="2:24" x14ac:dyDescent="0.25">
      <c r="X24" s="4">
        <v>46</v>
      </c>
    </row>
    <row r="25" spans="2:24" x14ac:dyDescent="0.25">
      <c r="X25" s="4">
        <v>47</v>
      </c>
    </row>
    <row r="26" spans="2:24" x14ac:dyDescent="0.25">
      <c r="X26" s="4">
        <v>48</v>
      </c>
    </row>
    <row r="27" spans="2:24" x14ac:dyDescent="0.25">
      <c r="B27" s="2" t="s">
        <v>113</v>
      </c>
      <c r="D27" s="2" t="s">
        <v>114</v>
      </c>
      <c r="H27" s="2" t="s">
        <v>119</v>
      </c>
      <c r="I27" s="2"/>
      <c r="X27" s="4">
        <v>49</v>
      </c>
    </row>
    <row r="28" spans="2:24" x14ac:dyDescent="0.25">
      <c r="B28" s="23"/>
      <c r="C28" s="23"/>
      <c r="D28" s="23"/>
      <c r="X28" s="4"/>
    </row>
    <row r="29" spans="2:24" x14ac:dyDescent="0.25">
      <c r="B29" t="s">
        <v>115</v>
      </c>
      <c r="D29" t="s">
        <v>118</v>
      </c>
      <c r="H29" t="s">
        <v>120</v>
      </c>
      <c r="I29" t="s">
        <v>121</v>
      </c>
      <c r="X29" s="4">
        <v>50</v>
      </c>
    </row>
    <row r="30" spans="2:24" x14ac:dyDescent="0.25">
      <c r="B30" t="s">
        <v>116</v>
      </c>
      <c r="D30" t="s">
        <v>157</v>
      </c>
      <c r="H30" t="s">
        <v>122</v>
      </c>
      <c r="I30" t="s">
        <v>123</v>
      </c>
      <c r="J30">
        <v>1.3</v>
      </c>
      <c r="K30" t="s">
        <v>136</v>
      </c>
      <c r="L30" s="11">
        <f>J30/7.58</f>
        <v>0.17150395778364116</v>
      </c>
      <c r="M30" s="24" t="s">
        <v>137</v>
      </c>
      <c r="X30" s="4">
        <v>51</v>
      </c>
    </row>
    <row r="31" spans="2:24" x14ac:dyDescent="0.25">
      <c r="B31" t="s">
        <v>117</v>
      </c>
      <c r="H31" t="s">
        <v>124</v>
      </c>
      <c r="I31" t="s">
        <v>126</v>
      </c>
      <c r="J31">
        <v>1.25</v>
      </c>
      <c r="K31" t="s">
        <v>136</v>
      </c>
      <c r="L31" s="11">
        <f t="shared" ref="L31:L37" si="0">J31/7.58</f>
        <v>0.16490765171503957</v>
      </c>
      <c r="M31" s="24" t="s">
        <v>137</v>
      </c>
      <c r="X31" s="4">
        <v>52</v>
      </c>
    </row>
    <row r="32" spans="2:24" x14ac:dyDescent="0.25">
      <c r="H32" t="s">
        <v>125</v>
      </c>
      <c r="I32" t="s">
        <v>127</v>
      </c>
      <c r="J32">
        <v>1.2</v>
      </c>
      <c r="K32" t="s">
        <v>136</v>
      </c>
      <c r="L32" s="11">
        <f t="shared" si="0"/>
        <v>0.15831134564643798</v>
      </c>
      <c r="M32" s="24" t="s">
        <v>137</v>
      </c>
      <c r="X32" s="4">
        <v>53</v>
      </c>
    </row>
    <row r="33" spans="8:24" x14ac:dyDescent="0.25">
      <c r="L33" s="11"/>
      <c r="M33" s="24"/>
      <c r="X33" s="4">
        <v>54</v>
      </c>
    </row>
    <row r="34" spans="8:24" ht="50.25" customHeight="1" x14ac:dyDescent="0.25">
      <c r="H34" t="s">
        <v>128</v>
      </c>
      <c r="I34" s="327" t="s">
        <v>132</v>
      </c>
      <c r="J34" s="327"/>
      <c r="K34" s="327"/>
      <c r="L34" s="327"/>
      <c r="M34" s="327"/>
      <c r="N34" s="327"/>
      <c r="X34" s="4">
        <v>55</v>
      </c>
    </row>
    <row r="35" spans="8:24" x14ac:dyDescent="0.25">
      <c r="H35" t="s">
        <v>129</v>
      </c>
      <c r="I35" t="s">
        <v>133</v>
      </c>
      <c r="J35">
        <v>1.34</v>
      </c>
      <c r="K35" t="s">
        <v>136</v>
      </c>
      <c r="L35" s="11">
        <f t="shared" si="0"/>
        <v>0.17678100263852245</v>
      </c>
      <c r="M35" s="24" t="s">
        <v>137</v>
      </c>
      <c r="X35" s="4">
        <v>56</v>
      </c>
    </row>
    <row r="36" spans="8:24" x14ac:dyDescent="0.25">
      <c r="H36" t="s">
        <v>130</v>
      </c>
      <c r="I36" t="s">
        <v>134</v>
      </c>
      <c r="J36">
        <v>1.26</v>
      </c>
      <c r="K36" t="s">
        <v>136</v>
      </c>
      <c r="L36" s="11">
        <f t="shared" si="0"/>
        <v>0.16622691292875991</v>
      </c>
      <c r="M36" s="24" t="s">
        <v>137</v>
      </c>
      <c r="X36" s="4">
        <v>57</v>
      </c>
    </row>
    <row r="37" spans="8:24" x14ac:dyDescent="0.25">
      <c r="H37" t="s">
        <v>131</v>
      </c>
      <c r="I37" t="s">
        <v>135</v>
      </c>
      <c r="J37">
        <v>1.18</v>
      </c>
      <c r="K37" t="s">
        <v>136</v>
      </c>
      <c r="L37" s="11">
        <f t="shared" si="0"/>
        <v>0.15567282321899736</v>
      </c>
      <c r="M37" s="24" t="s">
        <v>137</v>
      </c>
      <c r="X37" s="4">
        <v>58</v>
      </c>
    </row>
    <row r="38" spans="8:24" x14ac:dyDescent="0.25">
      <c r="X38" s="4">
        <v>59</v>
      </c>
    </row>
    <row r="39" spans="8:24" x14ac:dyDescent="0.25">
      <c r="X39" s="4">
        <v>60</v>
      </c>
    </row>
    <row r="40" spans="8:24" x14ac:dyDescent="0.25">
      <c r="X40" s="4">
        <v>61</v>
      </c>
    </row>
    <row r="41" spans="8:24" x14ac:dyDescent="0.25">
      <c r="X41" s="4">
        <v>62</v>
      </c>
    </row>
    <row r="42" spans="8:24" x14ac:dyDescent="0.25">
      <c r="X42" s="4">
        <v>63</v>
      </c>
    </row>
    <row r="43" spans="8:24" x14ac:dyDescent="0.25">
      <c r="X43" s="4">
        <v>64</v>
      </c>
    </row>
    <row r="44" spans="8:24" x14ac:dyDescent="0.25">
      <c r="X44" s="4">
        <v>65</v>
      </c>
    </row>
  </sheetData>
  <sheetProtection algorithmName="SHA-512" hashValue="m6TxhbME0Vd0VYCZo+vwNrN6JHo48Rj19w6NmqoHxFacBJPggdzPLofG0yXYN5Zar0cB/mkNhWd1u1NTyqrFKA==" saltValue="6nmNiOGjlVXyfsO098/BBw==" spinCount="100000" sheet="1" objects="1" scenarios="1" selectLockedCells="1"/>
  <mergeCells count="1">
    <mergeCell ref="I34:N34"/>
  </mergeCells>
  <pageMargins left="0.7" right="0.7" top="0.75" bottom="0.75" header="0.3" footer="0.3"/>
  <pageSetup paperSize="9" scale="88" orientation="portrait" r:id="rId1"/>
  <colBreaks count="3" manualBreakCount="3">
    <brk id="6" max="1048575" man="1"/>
    <brk id="14" max="104857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28</vt:i4>
      </vt:variant>
    </vt:vector>
  </HeadingPairs>
  <TitlesOfParts>
    <vt:vector size="36" baseType="lpstr">
      <vt:lpstr>INEMAD_bioplinski kalkulator</vt:lpstr>
      <vt:lpstr>I Z B O R N I K</vt:lpstr>
      <vt:lpstr>Analiza polj. gospodarstva</vt:lpstr>
      <vt:lpstr>AD analiza</vt:lpstr>
      <vt:lpstr>Financijski kalkulator</vt:lpstr>
      <vt:lpstr>Sažetak projekta</vt:lpstr>
      <vt:lpstr>Data validation_CHP engines</vt:lpstr>
      <vt:lpstr>Data validation</vt:lpstr>
      <vt:lpstr>CHP_brand</vt:lpstr>
      <vt:lpstr>CHP_engine_data</vt:lpstr>
      <vt:lpstr>CHP_kW</vt:lpstr>
      <vt:lpstr>company_name</vt:lpstr>
      <vt:lpstr>county</vt:lpstr>
      <vt:lpstr>creadit_line</vt:lpstr>
      <vt:lpstr>crop_type</vt:lpstr>
      <vt:lpstr>digester_no</vt:lpstr>
      <vt:lpstr>grants</vt:lpstr>
      <vt:lpstr>gsm</vt:lpstr>
      <vt:lpstr>HRT</vt:lpstr>
      <vt:lpstr>livestock_type</vt:lpstr>
      <vt:lpstr>manure_disposal</vt:lpstr>
      <vt:lpstr>manure_fraction</vt:lpstr>
      <vt:lpstr>manure_guidelines</vt:lpstr>
      <vt:lpstr>'AD analiza'!Print_Area</vt:lpstr>
      <vt:lpstr>'Analiza polj. gospodarstva'!Print_Area</vt:lpstr>
      <vt:lpstr>'Financijski kalkulator'!Print_Area</vt:lpstr>
      <vt:lpstr>'INEMAD_bioplinski kalkulator'!Print_Area</vt:lpstr>
      <vt:lpstr>'Sažetak projekta'!Print_Area</vt:lpstr>
      <vt:lpstr>RH</vt:lpstr>
      <vt:lpstr>tariff_EUR</vt:lpstr>
      <vt:lpstr>tariff_HRK</vt:lpstr>
      <vt:lpstr>tarrif_system</vt:lpstr>
      <vt:lpstr>thick_fraction</vt:lpstr>
      <vt:lpstr>title</vt:lpstr>
      <vt:lpstr>zip</vt:lpstr>
      <vt:lpstr>ZIP_code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Ana-Marija</dc:creator>
  <cp:lastModifiedBy>ams</cp:lastModifiedBy>
  <cp:lastPrinted>2015-07-22T13:53:49Z</cp:lastPrinted>
  <dcterms:created xsi:type="dcterms:W3CDTF">2014-10-21T21:10:05Z</dcterms:created>
  <dcterms:modified xsi:type="dcterms:W3CDTF">2016-01-29T09:50:21Z</dcterms:modified>
</cp:coreProperties>
</file>